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 activeTab="1"/>
  </bookViews>
  <sheets>
    <sheet name="3.pielikums" sheetId="3" r:id="rId1"/>
    <sheet name="4.pielikums" sheetId="1" r:id="rId2"/>
  </sheets>
  <definedNames>
    <definedName name="_xlnm.Print_Area" localSheetId="0">'3.pielikums'!$A$1:$G$414</definedName>
    <definedName name="_xlnm.Print_Area" localSheetId="1">'4.pielikums'!$A$1:$I$397</definedName>
  </definedNames>
  <calcPr calcId="125725"/>
</workbook>
</file>

<file path=xl/calcChain.xml><?xml version="1.0" encoding="utf-8"?>
<calcChain xmlns="http://schemas.openxmlformats.org/spreadsheetml/2006/main">
  <c r="G94" i="3"/>
  <c r="B79" i="1"/>
  <c r="C236" i="3"/>
  <c r="D44"/>
  <c r="E44"/>
  <c r="F44"/>
  <c r="G48"/>
  <c r="B358" i="1"/>
  <c r="G387" i="3" s="1"/>
  <c r="C387" s="1"/>
  <c r="B359" i="1"/>
  <c r="G388" i="3" s="1"/>
  <c r="C388" s="1"/>
  <c r="B360" i="1"/>
  <c r="G389" i="3" s="1"/>
  <c r="C389" s="1"/>
  <c r="B357" i="1"/>
  <c r="G409" i="3" s="1"/>
  <c r="C409" s="1"/>
  <c r="G380"/>
  <c r="C380" s="1"/>
  <c r="G378"/>
  <c r="C378" s="1"/>
  <c r="B355" i="1"/>
  <c r="B354"/>
  <c r="G379" i="3" s="1"/>
  <c r="C379" s="1"/>
  <c r="B353" i="1"/>
  <c r="D266" i="3"/>
  <c r="E266"/>
  <c r="F266"/>
  <c r="D240"/>
  <c r="E240"/>
  <c r="F240"/>
  <c r="D233"/>
  <c r="E233"/>
  <c r="F233"/>
  <c r="D219"/>
  <c r="E219"/>
  <c r="F219"/>
  <c r="D206"/>
  <c r="E206"/>
  <c r="F206"/>
  <c r="B243" i="1"/>
  <c r="G264" i="3" s="1"/>
  <c r="C264" s="1"/>
  <c r="B15" i="1"/>
  <c r="B21"/>
  <c r="B22"/>
  <c r="B24"/>
  <c r="B25"/>
  <c r="B26"/>
  <c r="B27"/>
  <c r="B30"/>
  <c r="B32"/>
  <c r="B33"/>
  <c r="B34"/>
  <c r="G35" i="3" s="1"/>
  <c r="C35" s="1"/>
  <c r="B45" i="1"/>
  <c r="B47"/>
  <c r="B48"/>
  <c r="B50"/>
  <c r="B51"/>
  <c r="B53"/>
  <c r="B54"/>
  <c r="B55"/>
  <c r="B56"/>
  <c r="B57"/>
  <c r="B58"/>
  <c r="B59"/>
  <c r="B60"/>
  <c r="B61"/>
  <c r="B62"/>
  <c r="B63"/>
  <c r="B64"/>
  <c r="B72"/>
  <c r="B77"/>
  <c r="B78"/>
  <c r="B80"/>
  <c r="B81"/>
  <c r="B82"/>
  <c r="B83"/>
  <c r="B84"/>
  <c r="B85"/>
  <c r="B86"/>
  <c r="B87"/>
  <c r="B88"/>
  <c r="B89"/>
  <c r="B90"/>
  <c r="B91"/>
  <c r="B92"/>
  <c r="B93"/>
  <c r="B95"/>
  <c r="G76" i="3" s="1"/>
  <c r="B96" i="1"/>
  <c r="B97"/>
  <c r="B98"/>
  <c r="G101" i="3" s="1"/>
  <c r="B100" i="1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33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5"/>
  <c r="B187"/>
  <c r="B188"/>
  <c r="B191"/>
  <c r="B192"/>
  <c r="B193"/>
  <c r="B194"/>
  <c r="B195"/>
  <c r="B196"/>
  <c r="B204"/>
  <c r="B205"/>
  <c r="B206"/>
  <c r="B207"/>
  <c r="B209"/>
  <c r="B210"/>
  <c r="B211"/>
  <c r="B212"/>
  <c r="B213"/>
  <c r="B214"/>
  <c r="B215"/>
  <c r="B216"/>
  <c r="B217"/>
  <c r="B218"/>
  <c r="B219"/>
  <c r="B220"/>
  <c r="B221"/>
  <c r="B223"/>
  <c r="B224"/>
  <c r="B225"/>
  <c r="B226"/>
  <c r="B239"/>
  <c r="B240"/>
  <c r="B241"/>
  <c r="B242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4"/>
  <c r="B265"/>
  <c r="B266"/>
  <c r="B288"/>
  <c r="B291"/>
  <c r="B292"/>
  <c r="B293"/>
  <c r="B294"/>
  <c r="B295"/>
  <c r="B296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G111" i="3" s="1"/>
  <c r="B337" i="1"/>
  <c r="B338"/>
  <c r="B339"/>
  <c r="B340"/>
  <c r="B341"/>
  <c r="B343"/>
  <c r="B344"/>
  <c r="B345"/>
  <c r="B346"/>
  <c r="B349"/>
  <c r="B366"/>
  <c r="B367"/>
  <c r="B368"/>
  <c r="B369"/>
  <c r="B370"/>
  <c r="B371"/>
  <c r="B372"/>
  <c r="B374"/>
  <c r="B378"/>
  <c r="B382"/>
  <c r="B383"/>
  <c r="B384"/>
  <c r="B385"/>
  <c r="B386"/>
  <c r="B387"/>
  <c r="B388"/>
  <c r="E127" i="3"/>
  <c r="F127"/>
  <c r="D103"/>
  <c r="E103"/>
  <c r="F103"/>
  <c r="D46" i="1"/>
  <c r="C46"/>
  <c r="F49" i="3"/>
  <c r="G95"/>
  <c r="G77"/>
  <c r="D12"/>
  <c r="B46" i="1" l="1"/>
  <c r="F205" i="3"/>
  <c r="E205"/>
  <c r="D205"/>
  <c r="G410"/>
  <c r="C410" s="1"/>
  <c r="G56"/>
  <c r="C56" s="1"/>
  <c r="G57"/>
  <c r="C57" s="1"/>
  <c r="F374" l="1"/>
  <c r="G203"/>
  <c r="G397"/>
  <c r="C397" s="1"/>
  <c r="C362" i="1"/>
  <c r="D362"/>
  <c r="B352"/>
  <c r="G396" i="3"/>
  <c r="C396" s="1"/>
  <c r="G395"/>
  <c r="C395" s="1"/>
  <c r="G394"/>
  <c r="C394" s="1"/>
  <c r="G393"/>
  <c r="C393" s="1"/>
  <c r="G392"/>
  <c r="C392" s="1"/>
  <c r="G391"/>
  <c r="C391" s="1"/>
  <c r="G376"/>
  <c r="C376" s="1"/>
  <c r="D373"/>
  <c r="D348" i="1"/>
  <c r="C348"/>
  <c r="C351"/>
  <c r="B351" s="1"/>
  <c r="D350"/>
  <c r="B350" s="1"/>
  <c r="G390" i="3"/>
  <c r="C390" s="1"/>
  <c r="G386"/>
  <c r="C386" s="1"/>
  <c r="D384"/>
  <c r="G398"/>
  <c r="C398" s="1"/>
  <c r="G402"/>
  <c r="C402" s="1"/>
  <c r="G399"/>
  <c r="C399" s="1"/>
  <c r="G400"/>
  <c r="C400" s="1"/>
  <c r="G401"/>
  <c r="C401" s="1"/>
  <c r="F309"/>
  <c r="D297"/>
  <c r="F297"/>
  <c r="F290"/>
  <c r="D290"/>
  <c r="D282"/>
  <c r="F282"/>
  <c r="E307"/>
  <c r="E294"/>
  <c r="E320"/>
  <c r="G339"/>
  <c r="C339" s="1"/>
  <c r="G340"/>
  <c r="C340" s="1"/>
  <c r="G384"/>
  <c r="G385"/>
  <c r="C385" s="1"/>
  <c r="G361"/>
  <c r="C361" s="1"/>
  <c r="G357"/>
  <c r="C357" s="1"/>
  <c r="C103"/>
  <c r="G318"/>
  <c r="G364"/>
  <c r="C364" s="1"/>
  <c r="G338"/>
  <c r="C338" s="1"/>
  <c r="G349"/>
  <c r="C349" s="1"/>
  <c r="G365"/>
  <c r="C365" s="1"/>
  <c r="G352"/>
  <c r="C352" s="1"/>
  <c r="G358"/>
  <c r="C358" s="1"/>
  <c r="G348"/>
  <c r="C348" s="1"/>
  <c r="G369"/>
  <c r="C369" s="1"/>
  <c r="G367"/>
  <c r="C367" s="1"/>
  <c r="G366"/>
  <c r="C366" s="1"/>
  <c r="G294"/>
  <c r="C294" s="1"/>
  <c r="G307"/>
  <c r="C307" s="1"/>
  <c r="G320"/>
  <c r="C320" s="1"/>
  <c r="G321"/>
  <c r="C321" s="1"/>
  <c r="G368"/>
  <c r="C368" s="1"/>
  <c r="E353"/>
  <c r="D380" i="1"/>
  <c r="C380"/>
  <c r="G362" i="3"/>
  <c r="C362" s="1"/>
  <c r="E326"/>
  <c r="D297" i="1"/>
  <c r="E308" i="3"/>
  <c r="E318"/>
  <c r="D373" i="1"/>
  <c r="C373"/>
  <c r="B373" s="1"/>
  <c r="G354" i="3"/>
  <c r="C354" s="1"/>
  <c r="G363"/>
  <c r="C363" s="1"/>
  <c r="G278"/>
  <c r="G279"/>
  <c r="D290" i="1"/>
  <c r="C290"/>
  <c r="D389"/>
  <c r="G407" i="3"/>
  <c r="C407" s="1"/>
  <c r="D381" i="1"/>
  <c r="D379"/>
  <c r="C379"/>
  <c r="B379" s="1"/>
  <c r="G343" i="3"/>
  <c r="C343" s="1"/>
  <c r="D377" i="1"/>
  <c r="D376"/>
  <c r="D375"/>
  <c r="C375"/>
  <c r="B375" s="1"/>
  <c r="I289"/>
  <c r="B289" s="1"/>
  <c r="E311" i="3"/>
  <c r="E310"/>
  <c r="E303"/>
  <c r="E301"/>
  <c r="E300"/>
  <c r="E298"/>
  <c r="E293"/>
  <c r="E292"/>
  <c r="E291"/>
  <c r="E286"/>
  <c r="E285"/>
  <c r="E284"/>
  <c r="E283"/>
  <c r="G287"/>
  <c r="C287" s="1"/>
  <c r="G288"/>
  <c r="C288" s="1"/>
  <c r="G356"/>
  <c r="C356" s="1"/>
  <c r="G351"/>
  <c r="C351" s="1"/>
  <c r="G360"/>
  <c r="C360" s="1"/>
  <c r="G295"/>
  <c r="C295" s="1"/>
  <c r="G306"/>
  <c r="C306" s="1"/>
  <c r="G296"/>
  <c r="C296" s="1"/>
  <c r="G299"/>
  <c r="C299" s="1"/>
  <c r="G314"/>
  <c r="C314" s="1"/>
  <c r="G315"/>
  <c r="C315" s="1"/>
  <c r="G316"/>
  <c r="C316" s="1"/>
  <c r="G317"/>
  <c r="C317" s="1"/>
  <c r="G327"/>
  <c r="C327" s="1"/>
  <c r="G328"/>
  <c r="C328" s="1"/>
  <c r="G329"/>
  <c r="C329" s="1"/>
  <c r="G330"/>
  <c r="C330" s="1"/>
  <c r="G331"/>
  <c r="C331" s="1"/>
  <c r="G332"/>
  <c r="C332" s="1"/>
  <c r="G333"/>
  <c r="C333" s="1"/>
  <c r="G334"/>
  <c r="C334" s="1"/>
  <c r="G335"/>
  <c r="C335" s="1"/>
  <c r="G336"/>
  <c r="C336" s="1"/>
  <c r="G337"/>
  <c r="C337" s="1"/>
  <c r="D263" i="1"/>
  <c r="G280" i="3"/>
  <c r="G255"/>
  <c r="C255" s="1"/>
  <c r="G256"/>
  <c r="C256" s="1"/>
  <c r="G257"/>
  <c r="C257" s="1"/>
  <c r="G258"/>
  <c r="C258" s="1"/>
  <c r="G259"/>
  <c r="C259" s="1"/>
  <c r="G260"/>
  <c r="C260" s="1"/>
  <c r="G261"/>
  <c r="C261" s="1"/>
  <c r="G262"/>
  <c r="C262" s="1"/>
  <c r="G273"/>
  <c r="G274"/>
  <c r="G275"/>
  <c r="G271"/>
  <c r="G269"/>
  <c r="G263"/>
  <c r="C263" s="1"/>
  <c r="G276"/>
  <c r="G277"/>
  <c r="G265"/>
  <c r="C265" s="1"/>
  <c r="G270"/>
  <c r="G252"/>
  <c r="C252" s="1"/>
  <c r="G236"/>
  <c r="G221"/>
  <c r="G213"/>
  <c r="D189"/>
  <c r="E189"/>
  <c r="F189"/>
  <c r="D181" i="1"/>
  <c r="G145" i="3"/>
  <c r="C145" s="1"/>
  <c r="G143"/>
  <c r="C143" s="1"/>
  <c r="G144"/>
  <c r="C144" s="1"/>
  <c r="G201"/>
  <c r="G187"/>
  <c r="C187" s="1"/>
  <c r="G188"/>
  <c r="C188" s="1"/>
  <c r="G185"/>
  <c r="C185" s="1"/>
  <c r="G186"/>
  <c r="C186" s="1"/>
  <c r="G183"/>
  <c r="C183" s="1"/>
  <c r="G184"/>
  <c r="C184" s="1"/>
  <c r="G181"/>
  <c r="C181" s="1"/>
  <c r="G182"/>
  <c r="C182" s="1"/>
  <c r="G146"/>
  <c r="C146" s="1"/>
  <c r="G115"/>
  <c r="G116"/>
  <c r="G117"/>
  <c r="G118"/>
  <c r="G119"/>
  <c r="G120"/>
  <c r="G121"/>
  <c r="G122"/>
  <c r="G123"/>
  <c r="G113"/>
  <c r="G112"/>
  <c r="G114"/>
  <c r="G110"/>
  <c r="G109"/>
  <c r="G107"/>
  <c r="G108"/>
  <c r="D134" i="1"/>
  <c r="C134"/>
  <c r="G140" i="3"/>
  <c r="C140" s="1"/>
  <c r="G106"/>
  <c r="G104"/>
  <c r="G105"/>
  <c r="D99" i="1"/>
  <c r="G126" i="3"/>
  <c r="D94" i="1"/>
  <c r="C94"/>
  <c r="G99" i="3"/>
  <c r="G98"/>
  <c r="G97"/>
  <c r="G96"/>
  <c r="G93"/>
  <c r="G92"/>
  <c r="G87"/>
  <c r="G91"/>
  <c r="G88"/>
  <c r="G86"/>
  <c r="G85"/>
  <c r="G80"/>
  <c r="G81"/>
  <c r="C81"/>
  <c r="C82"/>
  <c r="G78"/>
  <c r="G70"/>
  <c r="G71"/>
  <c r="G72"/>
  <c r="G73"/>
  <c r="G74"/>
  <c r="G75"/>
  <c r="G69"/>
  <c r="G55"/>
  <c r="C55" s="1"/>
  <c r="E50"/>
  <c r="E49" s="1"/>
  <c r="I76" i="1"/>
  <c r="H76"/>
  <c r="D76"/>
  <c r="C76"/>
  <c r="C318" i="3" l="1"/>
  <c r="C384"/>
  <c r="B362" i="1"/>
  <c r="B134"/>
  <c r="B297"/>
  <c r="G326" i="3" s="1"/>
  <c r="C326" s="1"/>
  <c r="B348" i="1"/>
  <c r="G375" i="3" s="1"/>
  <c r="C375" s="1"/>
  <c r="B99" i="1"/>
  <c r="G102" i="3" s="1"/>
  <c r="B376" i="1"/>
  <c r="G341" i="3" s="1"/>
  <c r="C341" s="1"/>
  <c r="B290" i="1"/>
  <c r="B181"/>
  <c r="G142" i="3" s="1"/>
  <c r="C142" s="1"/>
  <c r="B389" i="1"/>
  <c r="G347" i="3" s="1"/>
  <c r="C347" s="1"/>
  <c r="B76" i="1"/>
  <c r="B94"/>
  <c r="G100" i="3" s="1"/>
  <c r="B263" i="1"/>
  <c r="G272" i="3" s="1"/>
  <c r="B377" i="1"/>
  <c r="G345" i="3" s="1"/>
  <c r="C345" s="1"/>
  <c r="B381" i="1"/>
  <c r="G346" i="3" s="1"/>
  <c r="C346" s="1"/>
  <c r="B380" i="1"/>
  <c r="G353" i="3" s="1"/>
  <c r="C353" s="1"/>
  <c r="G103"/>
  <c r="E290"/>
  <c r="E297"/>
  <c r="E282"/>
  <c r="G308"/>
  <c r="C308" s="1"/>
  <c r="G355"/>
  <c r="C355" s="1"/>
  <c r="G344"/>
  <c r="C344" s="1"/>
  <c r="G359"/>
  <c r="C359" s="1"/>
  <c r="G141"/>
  <c r="C141" s="1"/>
  <c r="G79"/>
  <c r="G50" l="1"/>
  <c r="D51"/>
  <c r="D49" s="1"/>
  <c r="E45"/>
  <c r="G43" i="1"/>
  <c r="D46" i="3"/>
  <c r="I39" i="1"/>
  <c r="D39"/>
  <c r="C39"/>
  <c r="B39" s="1"/>
  <c r="D36"/>
  <c r="B36" s="1"/>
  <c r="C40"/>
  <c r="C41"/>
  <c r="E36" i="3"/>
  <c r="G23"/>
  <c r="B41" i="1" l="1"/>
  <c r="G39" i="3" s="1"/>
  <c r="B40" i="1"/>
  <c r="G38" i="3" s="1"/>
  <c r="C50"/>
  <c r="C13" i="1"/>
  <c r="B13" s="1"/>
  <c r="G43" i="3" l="1"/>
  <c r="G237" l="1"/>
  <c r="G238"/>
  <c r="G239"/>
  <c r="G226"/>
  <c r="G227"/>
  <c r="G228"/>
  <c r="G229"/>
  <c r="G230"/>
  <c r="G231"/>
  <c r="G232"/>
  <c r="G214"/>
  <c r="G215"/>
  <c r="G216"/>
  <c r="G202"/>
  <c r="G199"/>
  <c r="G200"/>
  <c r="G204"/>
  <c r="G195"/>
  <c r="G235"/>
  <c r="G253"/>
  <c r="C253" s="1"/>
  <c r="G254"/>
  <c r="C254" s="1"/>
  <c r="G222"/>
  <c r="G223"/>
  <c r="G224"/>
  <c r="G225"/>
  <c r="G342"/>
  <c r="C342" s="1"/>
  <c r="G350"/>
  <c r="C350" s="1"/>
  <c r="D365" i="1"/>
  <c r="C365"/>
  <c r="C364"/>
  <c r="B364" s="1"/>
  <c r="D363"/>
  <c r="C363"/>
  <c r="B363" s="1"/>
  <c r="D356"/>
  <c r="C356"/>
  <c r="I361"/>
  <c r="B361" s="1"/>
  <c r="G377" i="3"/>
  <c r="C377" s="1"/>
  <c r="G382"/>
  <c r="C382" s="1"/>
  <c r="D347" i="1"/>
  <c r="C347"/>
  <c r="G381" i="3"/>
  <c r="C381" s="1"/>
  <c r="D342" i="1"/>
  <c r="C342"/>
  <c r="G370" i="3"/>
  <c r="C370" s="1"/>
  <c r="D287" i="1"/>
  <c r="C287"/>
  <c r="G286"/>
  <c r="D286"/>
  <c r="C286"/>
  <c r="B286" s="1"/>
  <c r="D285"/>
  <c r="C285"/>
  <c r="B285" s="1"/>
  <c r="D284"/>
  <c r="C284"/>
  <c r="B284" s="1"/>
  <c r="D283"/>
  <c r="C283"/>
  <c r="B283" s="1"/>
  <c r="D282"/>
  <c r="C282"/>
  <c r="B282" s="1"/>
  <c r="D281"/>
  <c r="C281"/>
  <c r="B281" s="1"/>
  <c r="D280"/>
  <c r="C280"/>
  <c r="B280" s="1"/>
  <c r="D279"/>
  <c r="C279"/>
  <c r="B279" s="1"/>
  <c r="D278"/>
  <c r="C278"/>
  <c r="B278" s="1"/>
  <c r="D277"/>
  <c r="C277"/>
  <c r="B277" s="1"/>
  <c r="D276"/>
  <c r="C276"/>
  <c r="B276" s="1"/>
  <c r="D275"/>
  <c r="C275"/>
  <c r="B275" s="1"/>
  <c r="D274"/>
  <c r="C274"/>
  <c r="B274" s="1"/>
  <c r="D273"/>
  <c r="C273"/>
  <c r="B273" s="1"/>
  <c r="G272"/>
  <c r="D272"/>
  <c r="C272"/>
  <c r="D271"/>
  <c r="C271"/>
  <c r="D270"/>
  <c r="C270"/>
  <c r="D269"/>
  <c r="C269"/>
  <c r="D268"/>
  <c r="C268"/>
  <c r="D267"/>
  <c r="C267"/>
  <c r="E262"/>
  <c r="E390" s="1"/>
  <c r="D262"/>
  <c r="C262"/>
  <c r="D238"/>
  <c r="C238"/>
  <c r="B238" s="1"/>
  <c r="D237"/>
  <c r="C237"/>
  <c r="B237" s="1"/>
  <c r="D236"/>
  <c r="C236"/>
  <c r="B236" s="1"/>
  <c r="C235"/>
  <c r="D235"/>
  <c r="D234"/>
  <c r="C234"/>
  <c r="B234" s="1"/>
  <c r="D233"/>
  <c r="C233"/>
  <c r="B233" s="1"/>
  <c r="D232"/>
  <c r="C232"/>
  <c r="B232" s="1"/>
  <c r="D231"/>
  <c r="C231"/>
  <c r="B231" s="1"/>
  <c r="D230"/>
  <c r="C230"/>
  <c r="B230" s="1"/>
  <c r="D229"/>
  <c r="C229"/>
  <c r="B229" s="1"/>
  <c r="D228"/>
  <c r="C228"/>
  <c r="B228" s="1"/>
  <c r="D227"/>
  <c r="C227"/>
  <c r="B227" s="1"/>
  <c r="D222"/>
  <c r="C222"/>
  <c r="B222" s="1"/>
  <c r="D208"/>
  <c r="C208"/>
  <c r="B208" s="1"/>
  <c r="C203"/>
  <c r="D202"/>
  <c r="C202"/>
  <c r="D201"/>
  <c r="C201"/>
  <c r="C200"/>
  <c r="D199"/>
  <c r="C199"/>
  <c r="B199" s="1"/>
  <c r="D198"/>
  <c r="D197"/>
  <c r="C197"/>
  <c r="D190"/>
  <c r="C190"/>
  <c r="D189"/>
  <c r="C189"/>
  <c r="D186"/>
  <c r="C186"/>
  <c r="D184"/>
  <c r="C184"/>
  <c r="D183"/>
  <c r="C183"/>
  <c r="D182"/>
  <c r="C182"/>
  <c r="G196" i="3"/>
  <c r="G193"/>
  <c r="G178"/>
  <c r="C178" s="1"/>
  <c r="G147"/>
  <c r="C147" s="1"/>
  <c r="G148"/>
  <c r="C148" s="1"/>
  <c r="G149"/>
  <c r="C149" s="1"/>
  <c r="G150"/>
  <c r="C150" s="1"/>
  <c r="G151"/>
  <c r="C151" s="1"/>
  <c r="G152"/>
  <c r="C152" s="1"/>
  <c r="G153"/>
  <c r="C153" s="1"/>
  <c r="G154"/>
  <c r="C154" s="1"/>
  <c r="G155"/>
  <c r="C155" s="1"/>
  <c r="G156"/>
  <c r="C156" s="1"/>
  <c r="G157"/>
  <c r="C157" s="1"/>
  <c r="G158"/>
  <c r="C158" s="1"/>
  <c r="G159"/>
  <c r="C159" s="1"/>
  <c r="G160"/>
  <c r="C160" s="1"/>
  <c r="G161"/>
  <c r="C161" s="1"/>
  <c r="G162"/>
  <c r="C162" s="1"/>
  <c r="G163"/>
  <c r="C163" s="1"/>
  <c r="G164"/>
  <c r="C164" s="1"/>
  <c r="G165"/>
  <c r="C165" s="1"/>
  <c r="G166"/>
  <c r="C166" s="1"/>
  <c r="G167"/>
  <c r="C167" s="1"/>
  <c r="G168"/>
  <c r="C168" s="1"/>
  <c r="G169"/>
  <c r="C169" s="1"/>
  <c r="G170"/>
  <c r="C170" s="1"/>
  <c r="G171"/>
  <c r="C171" s="1"/>
  <c r="G172"/>
  <c r="C172" s="1"/>
  <c r="G173"/>
  <c r="C173" s="1"/>
  <c r="G174"/>
  <c r="C174" s="1"/>
  <c r="G175"/>
  <c r="C175" s="1"/>
  <c r="G176"/>
  <c r="C176" s="1"/>
  <c r="G177"/>
  <c r="C177" s="1"/>
  <c r="G179"/>
  <c r="C179" s="1"/>
  <c r="G180"/>
  <c r="C180" s="1"/>
  <c r="D75" i="1"/>
  <c r="D74"/>
  <c r="D73"/>
  <c r="D71"/>
  <c r="D70"/>
  <c r="D69"/>
  <c r="D68"/>
  <c r="D67"/>
  <c r="D66"/>
  <c r="D65"/>
  <c r="G65" i="3"/>
  <c r="G54"/>
  <c r="C54" s="1"/>
  <c r="G52"/>
  <c r="C52" s="1"/>
  <c r="G53"/>
  <c r="C53" s="1"/>
  <c r="C52" i="1"/>
  <c r="B52" s="1"/>
  <c r="G89" i="3"/>
  <c r="D132" i="1"/>
  <c r="C132"/>
  <c r="D131"/>
  <c r="C131"/>
  <c r="D130"/>
  <c r="C130"/>
  <c r="D129"/>
  <c r="C129"/>
  <c r="D128"/>
  <c r="C128"/>
  <c r="D127"/>
  <c r="C127"/>
  <c r="D126"/>
  <c r="C126"/>
  <c r="B126" s="1"/>
  <c r="D125"/>
  <c r="C125"/>
  <c r="D124"/>
  <c r="C124"/>
  <c r="B124" s="1"/>
  <c r="D123"/>
  <c r="C123"/>
  <c r="D122"/>
  <c r="C122"/>
  <c r="B122" s="1"/>
  <c r="D121"/>
  <c r="C121"/>
  <c r="D120"/>
  <c r="D43"/>
  <c r="C43"/>
  <c r="B43" s="1"/>
  <c r="D49"/>
  <c r="C49"/>
  <c r="B49" s="1"/>
  <c r="G83" i="3"/>
  <c r="G82"/>
  <c r="D44" i="1"/>
  <c r="C44"/>
  <c r="B44" s="1"/>
  <c r="H42"/>
  <c r="H390" s="1"/>
  <c r="D42"/>
  <c r="C42"/>
  <c r="G26" i="3"/>
  <c r="C26" s="1"/>
  <c r="G16"/>
  <c r="C16" s="1"/>
  <c r="F38" i="1"/>
  <c r="F390" s="1"/>
  <c r="D38"/>
  <c r="D37"/>
  <c r="G41" i="3"/>
  <c r="I35" i="1"/>
  <c r="I390" s="1"/>
  <c r="D35"/>
  <c r="C35"/>
  <c r="G22" i="3"/>
  <c r="C22" s="1"/>
  <c r="G25"/>
  <c r="C25" s="1"/>
  <c r="G27"/>
  <c r="C27" s="1"/>
  <c r="G28"/>
  <c r="C28" s="1"/>
  <c r="G31"/>
  <c r="C31" s="1"/>
  <c r="G34"/>
  <c r="C34" s="1"/>
  <c r="G33"/>
  <c r="C33" s="1"/>
  <c r="D31" i="1"/>
  <c r="C31"/>
  <c r="B31" s="1"/>
  <c r="D29"/>
  <c r="C29"/>
  <c r="D28"/>
  <c r="C28"/>
  <c r="B28" s="1"/>
  <c r="D23"/>
  <c r="C23"/>
  <c r="D20"/>
  <c r="C20"/>
  <c r="B20" s="1"/>
  <c r="D19"/>
  <c r="C19"/>
  <c r="D18"/>
  <c r="C18"/>
  <c r="B18" s="1"/>
  <c r="D17"/>
  <c r="C17"/>
  <c r="D16"/>
  <c r="C16"/>
  <c r="B16" s="1"/>
  <c r="D14"/>
  <c r="C14"/>
  <c r="G12"/>
  <c r="D12"/>
  <c r="C12"/>
  <c r="C390" s="1"/>
  <c r="B128" l="1"/>
  <c r="B130"/>
  <c r="B132"/>
  <c r="B183"/>
  <c r="B186"/>
  <c r="B190"/>
  <c r="B201"/>
  <c r="B267"/>
  <c r="B269"/>
  <c r="B271"/>
  <c r="B356"/>
  <c r="B365"/>
  <c r="B68"/>
  <c r="G61" i="3" s="1"/>
  <c r="B73" i="1"/>
  <c r="G66" i="3" s="1"/>
  <c r="B69" i="1"/>
  <c r="G62" i="3" s="1"/>
  <c r="G390" i="1"/>
  <c r="B35"/>
  <c r="G36" i="3" s="1"/>
  <c r="B37" i="1"/>
  <c r="G42" i="3" s="1"/>
  <c r="C42" s="1"/>
  <c r="B66" i="1"/>
  <c r="G59" i="3" s="1"/>
  <c r="B70" i="1"/>
  <c r="G63" i="3" s="1"/>
  <c r="B75" i="1"/>
  <c r="G68" i="3" s="1"/>
  <c r="B262" i="1"/>
  <c r="B342"/>
  <c r="G406" i="3"/>
  <c r="C406" s="1"/>
  <c r="B200" i="1"/>
  <c r="G210" i="3" s="1"/>
  <c r="D390" i="1"/>
  <c r="B65"/>
  <c r="G58" i="3" s="1"/>
  <c r="B74" i="1"/>
  <c r="G67" i="3" s="1"/>
  <c r="B198" i="1"/>
  <c r="G208" i="3" s="1"/>
  <c r="B203" i="1"/>
  <c r="G212" i="3" s="1"/>
  <c r="B347" i="1"/>
  <c r="G373" i="3" s="1"/>
  <c r="C373" s="1"/>
  <c r="G404"/>
  <c r="C404" s="1"/>
  <c r="B120" i="1"/>
  <c r="G128" i="3" s="1"/>
  <c r="C128" s="1"/>
  <c r="B14" i="1"/>
  <c r="B17"/>
  <c r="G18" i="3" s="1"/>
  <c r="B19" i="1"/>
  <c r="B23"/>
  <c r="B29"/>
  <c r="B38"/>
  <c r="G40" i="3" s="1"/>
  <c r="B42" i="1"/>
  <c r="B121"/>
  <c r="G129" i="3" s="1"/>
  <c r="C129" s="1"/>
  <c r="B123" i="1"/>
  <c r="B125"/>
  <c r="G133" i="3" s="1"/>
  <c r="C133" s="1"/>
  <c r="B127" i="1"/>
  <c r="G135" i="3" s="1"/>
  <c r="C135" s="1"/>
  <c r="B129" i="1"/>
  <c r="G137" i="3" s="1"/>
  <c r="C137" s="1"/>
  <c r="B131" i="1"/>
  <c r="B67"/>
  <c r="G60" i="3" s="1"/>
  <c r="G64"/>
  <c r="B71" i="1"/>
  <c r="B182"/>
  <c r="G190" i="3" s="1"/>
  <c r="B184" i="1"/>
  <c r="G192" i="3" s="1"/>
  <c r="B189" i="1"/>
  <c r="G197" i="3" s="1"/>
  <c r="B197" i="1"/>
  <c r="B202"/>
  <c r="G211" i="3" s="1"/>
  <c r="B235" i="1"/>
  <c r="G246" i="3" s="1"/>
  <c r="C246" s="1"/>
  <c r="B268" i="1"/>
  <c r="G284" i="3" s="1"/>
  <c r="B270" i="1"/>
  <c r="B272"/>
  <c r="G291" i="3" s="1"/>
  <c r="C291" s="1"/>
  <c r="B287" i="1"/>
  <c r="G325" i="3" s="1"/>
  <c r="C325" s="1"/>
  <c r="G405"/>
  <c r="C405" s="1"/>
  <c r="G14"/>
  <c r="G131"/>
  <c r="C131" s="1"/>
  <c r="G130"/>
  <c r="C130" s="1"/>
  <c r="G132"/>
  <c r="C132" s="1"/>
  <c r="G134"/>
  <c r="C134" s="1"/>
  <c r="G136"/>
  <c r="C136" s="1"/>
  <c r="G411"/>
  <c r="C411" s="1"/>
  <c r="G408"/>
  <c r="C408" s="1"/>
  <c r="G403"/>
  <c r="C403" s="1"/>
  <c r="G371"/>
  <c r="C371" s="1"/>
  <c r="G304"/>
  <c r="C304" s="1"/>
  <c r="G311"/>
  <c r="C311" s="1"/>
  <c r="G313"/>
  <c r="C313" s="1"/>
  <c r="G323"/>
  <c r="G312"/>
  <c r="G319"/>
  <c r="G310"/>
  <c r="G292"/>
  <c r="C292" s="1"/>
  <c r="G303"/>
  <c r="C303" s="1"/>
  <c r="G302"/>
  <c r="C302" s="1"/>
  <c r="G301"/>
  <c r="C301" s="1"/>
  <c r="G249"/>
  <c r="C249" s="1"/>
  <c r="G300"/>
  <c r="C300" s="1"/>
  <c r="G293"/>
  <c r="C293" s="1"/>
  <c r="G268"/>
  <c r="G286"/>
  <c r="G305"/>
  <c r="C305" s="1"/>
  <c r="G283"/>
  <c r="G285"/>
  <c r="G248"/>
  <c r="C248" s="1"/>
  <c r="G247"/>
  <c r="C247" s="1"/>
  <c r="G243"/>
  <c r="C243" s="1"/>
  <c r="G244"/>
  <c r="C244" s="1"/>
  <c r="G245"/>
  <c r="C245" s="1"/>
  <c r="G241"/>
  <c r="G242"/>
  <c r="C242" s="1"/>
  <c r="G251"/>
  <c r="C251" s="1"/>
  <c r="G234"/>
  <c r="G233" s="1"/>
  <c r="G267"/>
  <c r="G250"/>
  <c r="C250" s="1"/>
  <c r="G220"/>
  <c r="G219" s="1"/>
  <c r="G209"/>
  <c r="G207"/>
  <c r="G217"/>
  <c r="G191"/>
  <c r="G194"/>
  <c r="G198"/>
  <c r="G90"/>
  <c r="G139"/>
  <c r="G138"/>
  <c r="C138" s="1"/>
  <c r="G37"/>
  <c r="G47"/>
  <c r="G51"/>
  <c r="G46"/>
  <c r="G45"/>
  <c r="G15"/>
  <c r="G20"/>
  <c r="G24"/>
  <c r="G21"/>
  <c r="G29"/>
  <c r="G30"/>
  <c r="G19"/>
  <c r="G32"/>
  <c r="C32" s="1"/>
  <c r="G17"/>
  <c r="B12" i="1"/>
  <c r="G383" i="3" l="1"/>
  <c r="B390" i="1"/>
  <c r="G44" i="3"/>
  <c r="G266"/>
  <c r="G13"/>
  <c r="G206"/>
  <c r="G240"/>
  <c r="G127"/>
  <c r="G12"/>
  <c r="G374"/>
  <c r="C51"/>
  <c r="C45"/>
  <c r="G290"/>
  <c r="G309"/>
  <c r="G282"/>
  <c r="G189"/>
  <c r="G84"/>
  <c r="G49" s="1"/>
  <c r="G205" l="1"/>
  <c r="D139"/>
  <c r="D127" l="1"/>
  <c r="C139"/>
  <c r="C127" s="1"/>
  <c r="E12"/>
  <c r="G298" l="1"/>
  <c r="G297" s="1"/>
  <c r="D324" l="1"/>
  <c r="E324"/>
  <c r="F324"/>
  <c r="F12"/>
  <c r="C58" l="1"/>
  <c r="C49" l="1"/>
  <c r="D383"/>
  <c r="E383"/>
  <c r="E374" s="1"/>
  <c r="D374" l="1"/>
  <c r="C383"/>
  <c r="E312"/>
  <c r="C312" s="1"/>
  <c r="D319" l="1"/>
  <c r="D309" s="1"/>
  <c r="E319" l="1"/>
  <c r="E309" l="1"/>
  <c r="C319"/>
  <c r="C208"/>
  <c r="C217" l="1"/>
  <c r="D372" l="1"/>
  <c r="C36" l="1"/>
  <c r="F372" l="1"/>
  <c r="D322"/>
  <c r="D281" s="1"/>
  <c r="E322"/>
  <c r="E281" s="1"/>
  <c r="F322"/>
  <c r="F281" s="1"/>
  <c r="D125"/>
  <c r="D124" s="1"/>
  <c r="E125"/>
  <c r="E124" s="1"/>
  <c r="F125"/>
  <c r="F124" s="1"/>
  <c r="D11" l="1"/>
  <c r="F11"/>
  <c r="C211" l="1"/>
  <c r="C220" l="1"/>
  <c r="C219" s="1"/>
  <c r="C14"/>
  <c r="C310"/>
  <c r="C46" l="1"/>
  <c r="C13"/>
  <c r="C21"/>
  <c r="C15"/>
  <c r="C41"/>
  <c r="C284"/>
  <c r="C197"/>
  <c r="C268"/>
  <c r="C29"/>
  <c r="C286"/>
  <c r="C212"/>
  <c r="C191"/>
  <c r="C198"/>
  <c r="C285"/>
  <c r="C17"/>
  <c r="C209"/>
  <c r="C194"/>
  <c r="C47"/>
  <c r="C323"/>
  <c r="C192"/>
  <c r="C19"/>
  <c r="C37"/>
  <c r="C20"/>
  <c r="E372"/>
  <c r="E11" s="1"/>
  <c r="G324"/>
  <c r="C241"/>
  <c r="C240" s="1"/>
  <c r="C267"/>
  <c r="C234"/>
  <c r="C233" s="1"/>
  <c r="G125"/>
  <c r="C125"/>
  <c r="G322"/>
  <c r="C298"/>
  <c r="C190"/>
  <c r="C207"/>
  <c r="C206" s="1"/>
  <c r="C18"/>
  <c r="C44" l="1"/>
  <c r="C374"/>
  <c r="C266"/>
  <c r="C205" s="1"/>
  <c r="C189"/>
  <c r="C309"/>
  <c r="G124"/>
  <c r="C322"/>
  <c r="C324"/>
  <c r="C283"/>
  <c r="C290"/>
  <c r="C24"/>
  <c r="G372"/>
  <c r="C30"/>
  <c r="C297"/>
  <c r="C282" l="1"/>
  <c r="C372"/>
  <c r="C12"/>
  <c r="G281"/>
  <c r="C124" l="1"/>
  <c r="C281"/>
  <c r="G11"/>
  <c r="C11" l="1"/>
</calcChain>
</file>

<file path=xl/sharedStrings.xml><?xml version="1.0" encoding="utf-8"?>
<sst xmlns="http://schemas.openxmlformats.org/spreadsheetml/2006/main" count="818" uniqueCount="503">
  <si>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</si>
  <si>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</si>
  <si>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</si>
  <si>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</si>
  <si>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</si>
  <si>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</si>
  <si>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</si>
  <si>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</si>
  <si>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</si>
  <si>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</si>
  <si>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</si>
  <si>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</si>
  <si>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</si>
  <si>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</si>
  <si>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</si>
  <si>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</si>
  <si>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</si>
  <si>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</si>
  <si>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</si>
  <si>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</si>
  <si>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Novada teritorijas apsaimniekošana</t>
  </si>
  <si>
    <t>Balvu pagasta komunālā saimniecība</t>
  </si>
  <si>
    <t>Berzkalnes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</si>
  <si>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</si>
  <si>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</si>
  <si>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</si>
  <si>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</si>
  <si>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</si>
  <si>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</si>
  <si>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</si>
  <si>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</si>
  <si>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</si>
  <si>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t.sk. pašvaldības dotācija apzaļumošanai un labiekārtošanai</t>
  </si>
  <si>
    <t>Briežuciema FVP</t>
  </si>
  <si>
    <t>Krišjānu FVP</t>
  </si>
  <si>
    <t>Kubulu VFP</t>
  </si>
  <si>
    <t>Lazdulejas VFP</t>
  </si>
  <si>
    <t>Vectilžas VFP</t>
  </si>
  <si>
    <t>Vīksnas VFP</t>
  </si>
  <si>
    <t>Balvu pagasta sporta centrs</t>
  </si>
  <si>
    <t xml:space="preserve">Sporta pasākumi novadā </t>
  </si>
  <si>
    <t>Sporta pasākumi Tilžā</t>
  </si>
  <si>
    <t>Sporta pasākumi Vīksnā</t>
  </si>
  <si>
    <t>Balvu Centrālā bibliotēka</t>
  </si>
  <si>
    <t>KAC pasākumi</t>
  </si>
  <si>
    <t>Balvu pagasta Tautas nams</t>
  </si>
  <si>
    <t>Bērzkalnes telpas kultūras pasākumiem</t>
  </si>
  <si>
    <t>Lazdulejas telpas kultūras pasākumiem</t>
  </si>
  <si>
    <t>Bērzpils pagasta Saieta nams</t>
  </si>
  <si>
    <t>Briežuciema Tautas nams</t>
  </si>
  <si>
    <t>Krišjāņu Tautas nams</t>
  </si>
  <si>
    <t>Kubulu kultūras nams</t>
  </si>
  <si>
    <t>Tilžas kultūras nams</t>
  </si>
  <si>
    <t>Vectilžas sporta un atpūtas centrs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</si>
  <si>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</si>
  <si>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</si>
  <si>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</si>
  <si>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</si>
  <si>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</si>
  <si>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</si>
  <si>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</si>
  <si>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</si>
  <si>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Bērzpils vidusskola</t>
  </si>
  <si>
    <t>Tilžas vidusskola</t>
  </si>
  <si>
    <t>Balvu mūzikas skola</t>
  </si>
  <si>
    <t>Balvu mākslas skola</t>
  </si>
  <si>
    <t>Balvu sporta skola</t>
  </si>
  <si>
    <t>Balvu Bērnu un jauniešu centrs</t>
  </si>
  <si>
    <t>Izglītības, kultūras un sporta pārvalde</t>
  </si>
  <si>
    <t>Izglītības, kultūras un sporta pārvaldes pasākumi</t>
  </si>
  <si>
    <t>Transporta izdevumu kompensācija skolēniem</t>
  </si>
  <si>
    <t>Pansionāts "Balvi"</t>
  </si>
  <si>
    <t>Bāriņtiesa</t>
  </si>
  <si>
    <t>Sociālais dienests</t>
  </si>
  <si>
    <t>Sociālo māju uzturēšana</t>
  </si>
  <si>
    <t>Asisitenta pakalpojumi personām ar invaliditāti</t>
  </si>
  <si>
    <t>KOPĀ</t>
  </si>
  <si>
    <t>Klasifikācijas kods</t>
  </si>
  <si>
    <t>Iestādes un pasākumi</t>
  </si>
  <si>
    <t>01.000</t>
  </si>
  <si>
    <t>Vispārējie valdības dienesti</t>
  </si>
  <si>
    <t>03.000</t>
  </si>
  <si>
    <t>Sabiedriskā kārtība un drošība</t>
  </si>
  <si>
    <t>04.000</t>
  </si>
  <si>
    <t>Balvu novada Būvvalde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</si>
  <si>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</si>
  <si>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</si>
  <si>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</si>
  <si>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</si>
  <si>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</si>
  <si>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</si>
  <si>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</si>
  <si>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</si>
  <si>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</si>
  <si>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</si>
  <si>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</si>
  <si>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Vectilžas feldšeru veselības punkts</t>
  </si>
  <si>
    <t>Vīksnas feldšeru veselības punkts</t>
  </si>
  <si>
    <t>08.000</t>
  </si>
  <si>
    <t>Atpūta, kultūras un reliģija</t>
  </si>
  <si>
    <t>Atpūtas un sporta pasākumi</t>
  </si>
  <si>
    <t>Sporta pasākumi novadā</t>
  </si>
  <si>
    <t>Kultūra</t>
  </si>
  <si>
    <t>Bibliotēkas</t>
  </si>
  <si>
    <t>Muzeji</t>
  </si>
  <si>
    <t>Kultūras nami</t>
  </si>
  <si>
    <t>Briežuciema pagasta Tautas nams</t>
  </si>
  <si>
    <t>Krišjāņu pagasta Tautas nams</t>
  </si>
  <si>
    <t>Kubulu pagasta kultūras nams</t>
  </si>
  <si>
    <t>Tilžas pagasta kultūras nams</t>
  </si>
  <si>
    <t>Vectilžas pagasta sporta un atpūtas centrs</t>
  </si>
  <si>
    <t>Vīksnas pagasta Tautas nams</t>
  </si>
  <si>
    <t>Bērzkalnes kultūra</t>
  </si>
  <si>
    <t>Lazdulejas kultūra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</si>
  <si>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</si>
  <si>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</si>
  <si>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</si>
  <si>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</si>
  <si>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</si>
  <si>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</si>
  <si>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Vidusskolas</t>
  </si>
  <si>
    <t>Interešu un profesionālās ievirzes izglītība</t>
  </si>
  <si>
    <t>Peldbaseins</t>
  </si>
  <si>
    <t>Pārējā izglītības vadība</t>
  </si>
  <si>
    <t>Pārējie citur neklasificētie izglītības pakalpojumi</t>
  </si>
  <si>
    <t>Transporta izdevumi kompensācija skolēniem</t>
  </si>
  <si>
    <t>10.000</t>
  </si>
  <si>
    <t>Sociālā aizsardzība</t>
  </si>
  <si>
    <t>Pārējais citur neklasificēts atbalsts sociāli atstumtām personām</t>
  </si>
  <si>
    <t>Asistenta pakalpojumi personām ar invaliditāti</t>
  </si>
  <si>
    <t>Aizņēmumi</t>
  </si>
  <si>
    <t>Skolēnu nodarbinātība vasarā</t>
  </si>
  <si>
    <t>Ekonomiskā darbība</t>
  </si>
  <si>
    <t>P/A "SAN-TEX"</t>
  </si>
  <si>
    <t>Stacijas pamatskolas Vīksnas filiāle</t>
  </si>
  <si>
    <t>Balvu sporta skolas Peldbaseins</t>
  </si>
  <si>
    <t>Balvu teritoriālā invalīdu biedrība</t>
  </si>
  <si>
    <t>Latvijas Politiski represēto apvienība Balvu nodaļa</t>
  </si>
  <si>
    <t>Latvijas Sarkanais krusts Balvu komiteja</t>
  </si>
  <si>
    <t>Balvu Profesionālā un vispārizglītojošā vidusskola</t>
  </si>
  <si>
    <t xml:space="preserve"> Izglītības, kultūras un sporta pārvalde</t>
  </si>
  <si>
    <t>Atskurbtuves uzturēšana</t>
  </si>
  <si>
    <t>Balvu profesionālā un vispāizglītojošā vidusskola</t>
  </si>
  <si>
    <t>Finansēšanas avots</t>
  </si>
  <si>
    <t>Sporta pasākumi Bērzpilī</t>
  </si>
  <si>
    <t>Algoti pagaidu sabiedriskie darbi</t>
  </si>
  <si>
    <t>Latvijas neredzīgo biedrības Balvu teritoriala organizācija</t>
  </si>
  <si>
    <t xml:space="preserve">Kopā </t>
  </si>
  <si>
    <t>Vispārējie ieņēmumi</t>
  </si>
  <si>
    <t xml:space="preserve">Budžeta iestāžu ieņēmumi </t>
  </si>
  <si>
    <t>Valsts un pašvaldību transferti</t>
  </si>
  <si>
    <t>Pašvaldības budžetu parāda darījumi (Aizņēmumu apkalpošana un procentu maksa)</t>
  </si>
  <si>
    <t>Balvu novada Domes</t>
  </si>
  <si>
    <t>Balvu pensionāru biedrība</t>
  </si>
  <si>
    <t>Latvijas neredzīgo biedrības Balvu teritoriālā organizācija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</si>
  <si>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</si>
  <si>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</si>
  <si>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</si>
  <si>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</si>
  <si>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</si>
  <si>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 un tūrisma centrs</t>
  </si>
  <si>
    <t>Ziemeļlatgales biznesa un tūrisma centrs</t>
  </si>
  <si>
    <t>Sociālie pakalpojumi</t>
  </si>
  <si>
    <t>Erasmus + projekts Bērzpils vidusskola</t>
  </si>
  <si>
    <t>Balvu pilsētas stadiona uzturēšama</t>
  </si>
  <si>
    <t>Programma "Latvijas skolas soma"</t>
  </si>
  <si>
    <t>Tilžas vidusskolas pirmsskolas izglītības grupas Tilžā</t>
  </si>
  <si>
    <t>Tilžas vidusskolas pirmsskolas izglītības grupa Vectilžā</t>
  </si>
  <si>
    <t>Bērzpils vidusskolas pirmsskolas izglītības grupa Krišjāņos</t>
  </si>
  <si>
    <t>XII Latvijas skolu jaunatnes Dziesmu un Deju svētki</t>
  </si>
  <si>
    <t>Biedrība "Kalmārs"</t>
  </si>
  <si>
    <t>LV-RU pārrobežu sadarbības projekts "Veco parku jaunā dzīve: efektīva vēsturisko dabas objektu apsaimniekošana Latvijas-Krievijas pierobežā""</t>
  </si>
  <si>
    <t>SAM 5.6.2. Uzņēmējdarbības attīstība Austrumu pierobežā</t>
  </si>
  <si>
    <t>SAM 3.3.1 Investīcijas uzņēmējdarbības dažādošanai un konkurētspējas uzlabošanai Balvu novadā</t>
  </si>
  <si>
    <t>Projekts "Pakalpojumu infrastruktūras attīstība deinstitucionālizācijas plānu īstenošanai Balvu novadā"</t>
  </si>
  <si>
    <t>SAM 5.6.2 Industriālās teritorijas attīstība, revitalizējot īpašumus Balvu novadā</t>
  </si>
  <si>
    <t>LV-RU pārrobežu sadarbības projekts "Ne tikai grāmatas - bibliotēkas uzņēmējdarbības atbalstam"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</si>
  <si>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</si>
  <si>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</si>
  <si>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</si>
  <si>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</si>
  <si>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</si>
  <si>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</si>
  <si>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</si>
  <si>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</si>
  <si>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</si>
  <si>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</si>
  <si>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</si>
  <si>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05.000</t>
  </si>
  <si>
    <t>Vides aizsardzība</t>
  </si>
  <si>
    <t>Vides piesārņojuma novēršana un samazināšana (dabas resursu nodoklis)</t>
  </si>
  <si>
    <t>LV-RU pārrobežu projekts "Vides pārvaldības pilveidošana, īstenojot kopējus pasākumus LV-RU pārrobežu reģionos"</t>
  </si>
  <si>
    <t>Bērzpils vidusskolas Krišjāņu pirmsskolas grupa</t>
  </si>
  <si>
    <t>Sociālo pakalpojumu atbalsta sistēmas pilnveide pilngadīgām personām ar garīgā rakstura traucējumiem</t>
  </si>
  <si>
    <t>Balvu Kultūras un atpūtas centrs</t>
  </si>
  <si>
    <t>ELFLA projekts "Bērzkalnes pagasta ceļa "Balvi-Verpuļeva-Elkšņeva-Mūrova" posma parbūve 2.kārta"</t>
  </si>
  <si>
    <t>Norēķini ar citām pašvaldībām par izglītības pakalpojumiem</t>
  </si>
  <si>
    <t>Latgales reģiona tūrisma asociācija "Ezerzeme"</t>
  </si>
  <si>
    <t>Balvu novada vēlēšanu komisija</t>
  </si>
  <si>
    <t>Balvu Novada muzejs</t>
  </si>
  <si>
    <t>Balvu sākumskola</t>
  </si>
  <si>
    <t>ERASMUS+ projekts Balvu profesionālā un vispārizglītojošā vidusskola 2020-1-ES01-KA229- 078654_2</t>
  </si>
  <si>
    <t>Erasmus+ programmas Pamatdarbības Nr.2 (KA 2) skolu apmaiņas partnerību projekta Nr. 2020-1-TR01- KA229-094355_2 (Balvu sākumskola)</t>
  </si>
  <si>
    <t>Erasmus+ programmas Pamatdarbības Nr.2 (KA 2) skolu apmaiņas partnerību projekta Nr.2020-1-TR01- KA229-094355_2(Balvu sākumskola)</t>
  </si>
  <si>
    <t>ERASMUS+ projekts Balvu profesionālā un vispārizglītojošā vidusskola 2020-1-BG01-KA229- 079124_4</t>
  </si>
  <si>
    <t>ERASMUS+ projekts Balvu profesionālā un vispārizglītojošā vidusskola 2020-1-IT02-KA229-079175_3</t>
  </si>
  <si>
    <t>Norēķini par sociālajiem pakalpojumiem ar citām pašvaldībām</t>
  </si>
  <si>
    <t>Daudzfunkcionālais sociālo pakalpojumu centrs</t>
  </si>
  <si>
    <t>Balvu sporta skolas pieaugušo sporta pasākumi</t>
  </si>
  <si>
    <t>LV-LT pārrobežu sadarbības projekts "Amatu prasmes tūrisma telpā"</t>
  </si>
  <si>
    <t>Projekts "Atbalsts priekšlaicīgas mācību pārtraukšanas samazināšanai"</t>
  </si>
  <si>
    <t>ERASMUS+ projekts Balvu profesionālā un vispārizglītojošā vidusskola Nr.2020-1-LV01-KA101-077319</t>
  </si>
  <si>
    <t>Projekta "Jaunatnes ielas seguma atjaunošanas darbu veikšana Balvos"</t>
  </si>
  <si>
    <t>Projekta "Lauku ielas 1.posma pārbūve Balvos"</t>
  </si>
  <si>
    <t>SAM 4.2.2 projekts "Balvu novada pašvaldības administrācijas ēkas energoefektivitātes paaugstināšana"</t>
  </si>
  <si>
    <t>LV-RU pārrobežu sadarbības projekts "Veco parku jaunā dzīve: efektīva vēsturisko dabas objektu apsaimniekošana Latvijas-Krievijas pierobežā"</t>
  </si>
  <si>
    <t>Balvu novada pašvaldības pamatbudžeta izdevumi 2021.gadam (EUR)</t>
  </si>
  <si>
    <t>Balvu novada pašvaldības 2021.gada  pamatbudžeta izdevumi atbilstoši ekonomiskajām kategorijām (EUR)</t>
  </si>
  <si>
    <t>KF projekts "Balvu pilsētas ūdenssaimniecības attīstība III.kārta"</t>
  </si>
  <si>
    <t>Jaunizveidojamās pašvaldības administratīvās struktūras projekta izstrāde</t>
  </si>
  <si>
    <t>Jauniveidojamās novada pašvaldības teritorijas attīstības plānošanas dokumentu projekta izstrāde</t>
  </si>
  <si>
    <t>LV-RU pārrobežu sadarbības projekts "Zaļā tūrisma maršrutu attīstība, kas vieno Latvijas un Krievijas pierobežas reģionus mazo pilsētu un lauku teritoriju kopīgai ilgtspējīgai attīstībai"</t>
  </si>
  <si>
    <t>Apstiprināts 2021.gadam (EUR)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</si>
  <si>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</si>
  <si>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</si>
  <si>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</si>
  <si>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</si>
  <si>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</si>
  <si>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</si>
  <si>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</si>
  <si>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</si>
  <si>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</si>
  <si>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</si>
  <si>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Iekšējā valsts parāda darījumi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</si>
  <si>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</si>
  <si>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</si>
  <si>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</si>
  <si>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</si>
  <si>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</si>
  <si>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</si>
  <si>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</si>
  <si>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Vecumu mežsaimniecība</t>
  </si>
  <si>
    <t>Atbalsts lauksaimniecībai</t>
  </si>
  <si>
    <t xml:space="preserve"> Ielu un ceļu remonti Viļakā</t>
  </si>
  <si>
    <t>Autoceļu fonds (Viļaka)</t>
  </si>
  <si>
    <t>Ceļu un ielu uzturēšana  (Rugāji)</t>
  </si>
  <si>
    <t>Susāju pārvaldes teritorijas apsaimniekošana</t>
  </si>
  <si>
    <t>Medņevas komunālā saimniecība</t>
  </si>
  <si>
    <t>Viļakas pilsētas komunālā saimniecība - 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</si>
  <si>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</si>
  <si>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</si>
  <si>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</si>
  <si>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</si>
  <si>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</si>
  <si>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</si>
  <si>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</si>
  <si>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</si>
  <si>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</si>
  <si>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</si>
  <si>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pagasta teritorijas apsaimniekošana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</si>
  <si>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</si>
  <si>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</si>
  <si>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</si>
  <si>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</si>
  <si>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</si>
  <si>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</si>
  <si>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</si>
  <si>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A/m VW Caravelle HF8893</t>
  </si>
  <si>
    <t>A/m VW Caravelle HU2714</t>
  </si>
  <si>
    <t>Žīguru komunālā saimniecība</t>
  </si>
  <si>
    <t>Kupravas pārvaldes pašvaldības dzīvokļu uzturēšana</t>
  </si>
  <si>
    <t>Viļakas pilsētas pašvaldības dzīvokļu uzturēšana</t>
  </si>
  <si>
    <t>Viļakas teritorijas apsaimniekošana -Balvu iela 2C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</si>
  <si>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</si>
  <si>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</si>
  <si>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</si>
  <si>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</si>
  <si>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</si>
  <si>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Vecumu komunālā saimniecība</t>
  </si>
  <si>
    <t>Novada teritorijas darbība un pakalpojumu vadība (Viļaka)</t>
  </si>
  <si>
    <t>Kupravas FVP</t>
  </si>
  <si>
    <t>Upītes FVP</t>
  </si>
  <si>
    <t>Rugāju sociālās aprūpes centrs</t>
  </si>
  <si>
    <t>Viļakas sociālās aprūpes centrs</t>
  </si>
  <si>
    <t>Šķilbēnu sociālās aprūpes māja</t>
  </si>
  <si>
    <t>Rugāju bibliotēka</t>
  </si>
  <si>
    <t>Tikaiņu bibliotēka</t>
  </si>
  <si>
    <t>Lazdukalna bibliotēka</t>
  </si>
  <si>
    <t>Skujetnieku bibliotēka</t>
  </si>
  <si>
    <t>Kultūras nodaļa un Rugāju tautas nams</t>
  </si>
  <si>
    <t>Lazdukalna saieta nams</t>
  </si>
  <si>
    <t xml:space="preserve">Zobārstniecības kabinets  </t>
  </si>
  <si>
    <t>Projekts "Dzīvo vesels"-veselīga dzīvesveida un  profilakses veicināšanas pasākumi Rugāju novada iedzīvotājiem</t>
  </si>
  <si>
    <t>Skujetnieku FVP</t>
  </si>
  <si>
    <t>Projekts "Veselības veicināšanas un slimību profilakses pasākumi Viļakas novadā"</t>
  </si>
  <si>
    <t>Vecumu pārvaldes sporta aktivitātes</t>
  </si>
  <si>
    <t>Viļakas pilsētas sporta aktivitātes</t>
  </si>
  <si>
    <t>Šķilbēnu pātvaldes sporta aktivitātes</t>
  </si>
  <si>
    <t>Žīguru bibliotēka</t>
  </si>
  <si>
    <t>Vecumu bibliotēka</t>
  </si>
  <si>
    <t>Nemateriālās kultūras mantojuma centrs "Upīte" - bibliotēka</t>
  </si>
  <si>
    <t>Rekavas bibliotēka</t>
  </si>
  <si>
    <t>Medņevas bibliotēka</t>
  </si>
  <si>
    <t xml:space="preserve"> Kupravas bibliotēka</t>
  </si>
  <si>
    <t>Viļakas novada bibliotēka</t>
  </si>
  <si>
    <t>Nemateriālās kultūras mantojuma centrs "Upīte" - muzejs</t>
  </si>
  <si>
    <t>Kultūrvēsturiskā lauku sēta "Vēršukalns"</t>
  </si>
  <si>
    <t>Viļakas muzejs</t>
  </si>
  <si>
    <t xml:space="preserve">Rugāju muzejs  </t>
  </si>
  <si>
    <t>Vēlēšanu komisija</t>
  </si>
  <si>
    <t>Rugāju  pagasta pārvalde</t>
  </si>
  <si>
    <t>Lazdukalna pagasta pārvalde</t>
  </si>
  <si>
    <t>Rugāju pagasta pārvalde</t>
  </si>
  <si>
    <t>Autoceļu uzturēšana(Baltinava)</t>
  </si>
  <si>
    <t>Algotie pagaidu sabiedriskie darbi</t>
  </si>
  <si>
    <t>Uzņēmējdarbības un tūrisma atbalsta centrs</t>
  </si>
  <si>
    <t>Nodarbinātības pasākumi vasaras brīvlaikā (Viļaka)</t>
  </si>
  <si>
    <t>Projekts "Greenways Riga-Pskov""LV-RU 006</t>
  </si>
  <si>
    <t>Mežvidu pamatskolas ēka</t>
  </si>
  <si>
    <t>Balkanu Dabas parks</t>
  </si>
  <si>
    <t>"GreenPalette" LV-RU-II-053 projekts</t>
  </si>
  <si>
    <t>Viļakas pilsētas teritorija Pils iela 9</t>
  </si>
  <si>
    <t>Latgales programmas projekti</t>
  </si>
  <si>
    <t>Atbalsts mazo un vidējo uzņēmumu attīstības veicināšanai ( Baltinava)</t>
  </si>
  <si>
    <t>Atbalsts uzņēmējiem (Viļaka)</t>
  </si>
  <si>
    <t xml:space="preserve">Atbalsts lauksaimniecības nozaru pasākumiem </t>
  </si>
  <si>
    <t>Biznesa ideju konkurss (Balvi)</t>
  </si>
  <si>
    <t>Biznesa ideju konkurss (Rugāji)</t>
  </si>
  <si>
    <t>Pārējie ar ekonomisku darbību saistītie pasākumi</t>
  </si>
  <si>
    <t>Skolēnu nodarbinātības pasākumi (Rugāji)</t>
  </si>
  <si>
    <t>Atkritumu apsaimniekošana (Baltinava)</t>
  </si>
  <si>
    <t>Notekūdeņu apsaimniekošana (Baltinava)</t>
  </si>
  <si>
    <t>Dabas resursu nodoklis (Baltinava)</t>
  </si>
  <si>
    <t>Parka apsaimniekošana (Baltinava)</t>
  </si>
  <si>
    <t>Notekūdeņu apsaimniekošana (Rugāju pagastā)</t>
  </si>
  <si>
    <t>Notekūdeņu apsaimniekošana (Lazdukalna pagastā)</t>
  </si>
  <si>
    <t>Dabas resursu nodoklis (Rugāji)</t>
  </si>
  <si>
    <t>Viļakas pilsētas komunālā saimniecība - atkritumu apsaimniekošana</t>
  </si>
  <si>
    <t>Viļakas pilsētas komunālā saimniecība-kanalizācija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</si>
  <si>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</si>
  <si>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</si>
  <si>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</si>
  <si>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</si>
  <si>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</si>
  <si>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</si>
  <si>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>Dabas resursu nodoklis (Viļaka)</t>
  </si>
  <si>
    <t>A/m Toyota Proace LK537</t>
  </si>
  <si>
    <t>Ūdensapgāde</t>
  </si>
  <si>
    <t>Attīstības un plānošanas nodaļa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</si>
  <si>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</si>
  <si>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</si>
  <si>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</si>
  <si>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</si>
  <si>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</si>
  <si>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 xml:space="preserve">Lazdukalna pagasta apgaismošana un ietvju uzturēšana </t>
  </si>
  <si>
    <t xml:space="preserve">Rugāju pagasta apgaismošana un ietvju uzturēšana </t>
  </si>
  <si>
    <t>Skujetnieku feldšeru veselības punkts</t>
  </si>
  <si>
    <t>Zobārstniecības kabinets (Rugāji)</t>
  </si>
  <si>
    <t>Projekts "Dzīvo aktīvs Baltinavā"</t>
  </si>
  <si>
    <t>Kapsētu apsaimniekošana</t>
  </si>
  <si>
    <t>Pirts</t>
  </si>
  <si>
    <t>Pirts (Baltinava)</t>
  </si>
  <si>
    <t>Ūdensapgāde (Baltinava)</t>
  </si>
  <si>
    <t>Kapsētu apsaimniekošana (Baltinava)</t>
  </si>
  <si>
    <t>Kupravas feldšeru punkts</t>
  </si>
  <si>
    <t>Upītes feldšeru-vecmāšu punkts</t>
  </si>
  <si>
    <t xml:space="preserve">Zivju aizsardzības fonda projekti </t>
  </si>
  <si>
    <t>Baltinavas sporta pasākumi</t>
  </si>
  <si>
    <t>Baltinavas bibliotēka</t>
  </si>
  <si>
    <t>Baltinavas muzejs</t>
  </si>
  <si>
    <t>Tautas mākslas kolektīvu vadītāju mērķdotācija</t>
  </si>
  <si>
    <t>Tautas mākslas kolektīvu vadītāju mērķdotācija (Viļaka)</t>
  </si>
  <si>
    <t>Baltinavas kultūras nams</t>
  </si>
  <si>
    <t>Projekts "Latvijas skolas soma"</t>
  </si>
  <si>
    <t>Darbs ar jauniešiem</t>
  </si>
  <si>
    <t>Pārējie pasākumi (līdzfinansējums projektiem, biedrībām) (Rugāji)</t>
  </si>
  <si>
    <t>Atbalsts reliģisko organizāciju darbībai (Baltinava)</t>
  </si>
  <si>
    <t>Šķilbēnu iniciatīvu centrs "Zvaniņi"</t>
  </si>
  <si>
    <t>Medņevas jaunatnes iniciatīvu centrs "Sauleszieds"</t>
  </si>
  <si>
    <t>Viļakas jauniešu iniciatīvu centrs</t>
  </si>
  <si>
    <t>Susāju kultūras pasākumi</t>
  </si>
  <si>
    <t xml:space="preserve"> Borisovas kultūras pasākumi</t>
  </si>
  <si>
    <t>Žīguru kultūras nams</t>
  </si>
  <si>
    <t>Viļakas kultūras nams</t>
  </si>
  <si>
    <t>Nemateriālās kultūras mantojuma centrs "Upīte" - tautas nams</t>
  </si>
  <si>
    <t>Medņevas Tautas nams</t>
  </si>
  <si>
    <t>Kupravas kultūras pasākumi</t>
  </si>
  <si>
    <t>Šķilbēnu pagasta kultūras centrs "Rekova"</t>
  </si>
  <si>
    <t xml:space="preserve"> Dotācijas pārejām organizācijām, biedrībām (Viļaka)</t>
  </si>
  <si>
    <t>Atbalsts reliģisko organizāciju darbībai (Balvi)</t>
  </si>
  <si>
    <t>Tautas mākslas kolektīvu vadītāju mērķdotācija (Baltinava)</t>
  </si>
  <si>
    <t>Reliģisko organizāciju un citu biedrību un nodibinājumu pakalpojumi (Balvi)</t>
  </si>
  <si>
    <t>Izglītības, kultūras un sporta pārvalde-metodiskais darbs</t>
  </si>
  <si>
    <t>Izglītības, kultūras un sporta pārvalde-interešu izglītība</t>
  </si>
  <si>
    <t>Izglītības, kultūras un sporta pārvalde-kultūra</t>
  </si>
  <si>
    <t xml:space="preserve"> Izglītības, kultūras un sporta pārvalde-izglītība</t>
  </si>
  <si>
    <t>A/m FORD Transit LM8756</t>
  </si>
  <si>
    <t>Skolēnu pārvadāšana Šķilbēnu pārvalde</t>
  </si>
  <si>
    <t>Skolēnu pārvadāšana Susāju pārvalde</t>
  </si>
  <si>
    <t>VW TRANSPORTER EC405</t>
  </si>
  <si>
    <t>Skolēnu pārvadāšana Viļaka</t>
  </si>
  <si>
    <t>Datorspeciālists</t>
  </si>
  <si>
    <t>Ceļa izdevumi skolēniem</t>
  </si>
  <si>
    <t>Viļakas MMS - Kultūras ministrijas mēķdotācija</t>
  </si>
  <si>
    <t>Viļakas mūzikas un mākslas skola</t>
  </si>
  <si>
    <t>Viļakas bērnu un jaunatnes sporta skola - mērķdotācija</t>
  </si>
  <si>
    <t>Viļakas bērnu un jaunatnes sporta skola</t>
  </si>
  <si>
    <t xml:space="preserve"> Viļakas Valsts ģimnāzija</t>
  </si>
  <si>
    <t>Žīguru pamatskola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</si>
  <si>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</si>
  <si>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</si>
  <si>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</si>
  <si>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</si>
  <si>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</si>
  <si>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</si>
  <si>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Rugāju novada vidusskola</t>
  </si>
  <si>
    <t>Rugāju Sporta centrs</t>
  </si>
  <si>
    <t xml:space="preserve">Rugāju jauniešu iniciatīvu - interešu centrs </t>
  </si>
  <si>
    <t>Skolēnu pārvadājumu nodrošināšana</t>
  </si>
  <si>
    <t>Izglītības pārvalde</t>
  </si>
  <si>
    <t>Projekts "Karjeras atbalsts vispārējās un</t>
  </si>
  <si>
    <t xml:space="preserve">Projekts "Atbalsts priekšlaicīgas mācību pārtraukšanas samazināšanai" </t>
  </si>
  <si>
    <t xml:space="preserve">Projekts  "ERASMUS" School gardens </t>
  </si>
  <si>
    <t>Projekts "ERASMUS" Math un Techology</t>
  </si>
  <si>
    <t>Skolēnu pārvadājumi</t>
  </si>
  <si>
    <t>Projekts Nr.  2019-1-MDM-M02020-P instrumenta iegāde</t>
  </si>
  <si>
    <t>Baltinavas mūzikas un mākslas skola</t>
  </si>
  <si>
    <t>Vides projekti</t>
  </si>
  <si>
    <t>Baltinavas vidusskolas ēdināšanas bloks</t>
  </si>
  <si>
    <t>Baltinavas vidusskola</t>
  </si>
  <si>
    <t>Baltinavas vidusskolas PII grupa</t>
  </si>
  <si>
    <t>Viļakas Valsts ģimnāzija</t>
  </si>
  <si>
    <t>Ceļa izdevumi skolēniem (Viļaka)</t>
  </si>
  <si>
    <t>Valsts Kultūrkapitāla fonda projekti (Balvu novada muzejs)</t>
  </si>
  <si>
    <t>Valsts Kultūrkapitāla fonda projekti (Balvu Centrālā bibliotēka)</t>
  </si>
  <si>
    <t>Valsts Kultūrkapitāla fonda projekti (Balvu mūzikas skola)</t>
  </si>
  <si>
    <t>Atbalsts priekšlaicīgas mācību pārtraukšanas samazināšanai (Balvi)</t>
  </si>
  <si>
    <t>Projekts "Atbalsts priekšlaicīgas mācību pārtraukšanas samazināšanai" (Balvi)</t>
  </si>
  <si>
    <t>Projekts "Atbalsts priekšlaicīgas mācību pārtraukšanas samazināšanai" (Viļaka)</t>
  </si>
  <si>
    <t>Projekts "Karjeras atbalsts vispārējās un profesionālās izglītības iestādēs" (Viļaka)</t>
  </si>
  <si>
    <t>Projekts "Atbalsts izglītojamo individuālo kompetenču attīstībai" (Viļaka)</t>
  </si>
  <si>
    <t>Projekts "Karjeras atbalsts vispārējās un profesionālās izglītības iestādēs" (Balvi)</t>
  </si>
  <si>
    <t>PROTI UN DARI! (Balvi)</t>
  </si>
  <si>
    <t>Atbalsts izglītojāmo individuālo kompetenču attīstībai (Balvi)</t>
  </si>
  <si>
    <t>Projekts "Atbalsts izglītojāmo individuālo kompetenču attīstībai" (Balvi)</t>
  </si>
  <si>
    <t xml:space="preserve"> Vadība izglītības funkciju nodrošināšanai (Baltinava)</t>
  </si>
  <si>
    <t>Transporta izdevumu kompensācija skolēniem (Baltinava)</t>
  </si>
  <si>
    <t>Skolēnu pārvadājumi (Baltinava)</t>
  </si>
  <si>
    <t>Projekts "Atbalsts priekšlaicīgas mācību pārtraukšanas samazināšanai" (Rugāji)</t>
  </si>
  <si>
    <t>Projekts "Atbalsts priekšlaicīgas mācību pārtraukšanas samazināšanai" (Baltinava)</t>
  </si>
  <si>
    <t>Projekts "Atbalsts izglītojamo individuālo kompetenču attīstībai" (Baltinava)</t>
  </si>
  <si>
    <t>Projekts “RoboNet" (Rugāji)</t>
  </si>
  <si>
    <t>LV-LT pārrobežu sadarbības projekts "RoboNet"</t>
  </si>
  <si>
    <t>Projekts "Atbalsts izglītojamo individuālo kompetenču attīstībai" (Rugaji)</t>
  </si>
  <si>
    <t>Projekts "Karjeras atbalsts vispārējās un profesionālās izglītības iestādēs" (Rugāji)</t>
  </si>
  <si>
    <t>Pārējie izglītības pasākumi (Apbalvošana, baseina apmeklējums) (Rugāji)</t>
  </si>
  <si>
    <t>Izglītības pārvalde (Rugāji)</t>
  </si>
  <si>
    <t>Skolēnu pārvadājumu nodrošināšana (Rugāji)</t>
  </si>
  <si>
    <t>Transporta izdevumu kompensācija skolēniem (Rugāji)</t>
  </si>
  <si>
    <t>Eglaines pamatkola</t>
  </si>
  <si>
    <t>Viļakas NMP</t>
  </si>
  <si>
    <t>Sociālais dienests (Balvi)</t>
  </si>
  <si>
    <t>Sociālās palīdzības dienests (Viļaka)</t>
  </si>
  <si>
    <t>Socialās palīdzības dienests ( Viļaka)</t>
  </si>
  <si>
    <t xml:space="preserve">Projekts "Projekts pakalpojumu infrastruktūras attīstība deinstitucionalizācijas plāna īstenošanai  Rugāju novadā.(SAM 9.3.1.1.ERAF-Ēkas pārbūve par dienas aprūpes centru) </t>
  </si>
  <si>
    <t xml:space="preserve">Dienas aprūpes centrs </t>
  </si>
  <si>
    <t>Sociālais dienests  (Rugāji)</t>
  </si>
  <si>
    <t>Aprūpe mājās (Rugāji)</t>
  </si>
  <si>
    <t>Veļas mazgāšanas pakalpojumi (Rugāji)</t>
  </si>
  <si>
    <t>Dotācijas biedrībām (Rugāji)</t>
  </si>
  <si>
    <t>Sociālais dienests (Baltinava)</t>
  </si>
  <si>
    <t>DI projekts Nr.9.2.2.1./15/I/005 (Viļaka)</t>
  </si>
  <si>
    <t>Baltinavas ciema ielu remonts</t>
  </si>
  <si>
    <t>Autoceļa Kaši-Surikova-Buksti remonts</t>
  </si>
  <si>
    <t>Covid eksprestestu iegāde</t>
  </si>
  <si>
    <t>Darba drošības un aizsardzības pasākumi (Baltinava)</t>
  </si>
  <si>
    <t>Baltinavas saimnieciskā nodaļa</t>
  </si>
  <si>
    <t>Vecumu mežsaimniecība (Viļaka)</t>
  </si>
  <si>
    <t>Atbalsts lauksaimniecībai (Viļaka)</t>
  </si>
  <si>
    <t>ĻV-RU pārrobežu sadarbības projekts "No hobija uz biznesu" (Baltinava)</t>
  </si>
  <si>
    <t>Pārējie ar ekonomisku darbību saistītie pasākumi (Rugāji)</t>
  </si>
  <si>
    <t>ĻV-RU pārrobežu sadarbības projekts "No hobija uz biznesu" (Rugāji)</t>
  </si>
  <si>
    <t>LV-RU pārrobežu sadarbības projekts "No hobija uz biznesu" (Baltinava)</t>
  </si>
  <si>
    <t>LV-RU pārrobežu sadarbības projekts "No hobija uz biznesu" (Rugāji)</t>
  </si>
  <si>
    <t>Projekts "Uzņēmējdarbības attīstība Austrumu pierobežā"(laukuma izbūve un ceļa Benislava-Blāzma pārbūve)</t>
  </si>
  <si>
    <t>Tūrisms (Baltinava)</t>
  </si>
  <si>
    <t>Vides projekti (Baltinava)</t>
  </si>
  <si>
    <t>Baltinavas kultūras pasākumi</t>
  </si>
  <si>
    <t>Sociālie pabalsti (Balvi)</t>
  </si>
  <si>
    <t>Sociālie pabalsti (Viļaka)</t>
  </si>
  <si>
    <t>Sociālie pabalsti (Rugāji)</t>
  </si>
  <si>
    <t>Sociālie pabalsti ( Baltinava)</t>
  </si>
  <si>
    <t>Pašvaldības dzīvojamā māja Viļakā Pļavu ielā 2</t>
  </si>
  <si>
    <t>Pašvaldības dzīvojamā māja Viļakā Skolas ielā 3</t>
  </si>
  <si>
    <t>Specializētā a/m Volvo V70 reģ. Nr.KF9076</t>
  </si>
  <si>
    <t>Projekts "Sabiedrībā balstītu sociālo pakalpojumu infrastruktūras izveide un attīstība Viļakas novadā"</t>
  </si>
  <si>
    <t>Nodarbinātības pasākumi vasaras brīvlaikā (Baltinava)</t>
  </si>
  <si>
    <t xml:space="preserve">Domes priekšsēdētājs                                                                                              S.Maksimovs                                               </t>
  </si>
  <si>
    <t xml:space="preserve">Domes priekšsēdētājs                                                                             S.Maksimovs                  </t>
  </si>
  <si>
    <t>3.pielikums</t>
  </si>
  <si>
    <t>2021.gada 29.jūlija</t>
  </si>
  <si>
    <t>4.pielikums</t>
  </si>
  <si>
    <t>saistošajiem noteikumiem Nr.3/2021 "Par Balvu novada pašvaldības 2021.gada budžetu"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</si>
</sst>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Fill="1"/>
    <xf numFmtId="1" fontId="0" fillId="0" borderId="0" xfId="0" applyNumberFormat="1" applyFill="1"/>
    <xf numFmtId="0" fontId="5" fillId="0" borderId="0" xfId="0" applyFont="1" applyFill="1" applyAlignment="1">
      <alignment horizontal="right"/>
    </xf>
    <xf numFmtId="0" fontId="0" fillId="0" borderId="0" xfId="0" applyFill="1" applyBorder="1"/>
    <xf numFmtId="0" fontId="5" fillId="0" borderId="0" xfId="0" applyFont="1" applyFill="1" applyAlignment="1">
      <alignment horizontal="right"/>
    </xf>
    <xf numFmtId="0" fontId="0" fillId="0" borderId="0" xfId="0" applyFont="1" applyFill="1" applyBorder="1"/>
    <xf numFmtId="0" fontId="8" fillId="0" borderId="0" xfId="0" applyFont="1" applyFill="1" applyAlignment="1"/>
    <xf numFmtId="0" fontId="10" fillId="0" borderId="0" xfId="0" applyFont="1" applyBorder="1"/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1" fontId="13" fillId="0" borderId="1" xfId="0" applyNumberFormat="1" applyFont="1" applyFill="1" applyBorder="1"/>
    <xf numFmtId="1" fontId="13" fillId="0" borderId="1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8" fillId="0" borderId="0" xfId="0" applyNumberFormat="1" applyFont="1" applyFill="1"/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top"/>
    </xf>
    <xf numFmtId="164" fontId="13" fillId="0" borderId="1" xfId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right"/>
    </xf>
    <xf numFmtId="0" fontId="16" fillId="0" borderId="0" xfId="0" applyFont="1" applyBorder="1" applyAlignment="1"/>
    <xf numFmtId="0" fontId="2" fillId="0" borderId="0" xfId="0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20" fillId="0" borderId="0" xfId="0" applyFont="1" applyFill="1"/>
    <xf numFmtId="0" fontId="19" fillId="0" borderId="0" xfId="0" applyFont="1" applyFill="1" applyAlignment="1"/>
    <xf numFmtId="0" fontId="8" fillId="0" borderId="0" xfId="0" applyFont="1" applyFill="1" applyAlignment="1">
      <alignment horizontal="right"/>
    </xf>
    <xf numFmtId="1" fontId="4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/>
    <xf numFmtId="1" fontId="5" fillId="0" borderId="1" xfId="0" applyNumberFormat="1" applyFont="1" applyFill="1" applyBorder="1"/>
    <xf numFmtId="1" fontId="1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2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1" fillId="0" borderId="1" xfId="2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wrapText="1"/>
    </xf>
    <xf numFmtId="0" fontId="24" fillId="0" borderId="1" xfId="0" applyNumberFormat="1" applyFont="1" applyFill="1" applyBorder="1" applyAlignment="1" applyProtection="1">
      <alignment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Border="1"/>
    <xf numFmtId="0" fontId="24" fillId="0" borderId="1" xfId="0" applyNumberFormat="1" applyFont="1" applyFill="1" applyBorder="1" applyAlignment="1" applyProtection="1">
      <alignment horizontal="left" wrapText="1"/>
    </xf>
    <xf numFmtId="0" fontId="25" fillId="0" borderId="3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1" fontId="15" fillId="0" borderId="5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" xfId="0" applyBorder="1"/>
    <xf numFmtId="0" fontId="25" fillId="0" borderId="1" xfId="0" applyFont="1" applyFill="1" applyBorder="1" applyAlignment="1">
      <alignment wrapText="1"/>
    </xf>
    <xf numFmtId="0" fontId="24" fillId="0" borderId="0" xfId="0" applyNumberFormat="1" applyFont="1" applyFill="1" applyBorder="1" applyAlignment="1" applyProtection="1">
      <alignment horizontal="left" wrapText="1"/>
    </xf>
    <xf numFmtId="1" fontId="15" fillId="0" borderId="0" xfId="0" applyNumberFormat="1" applyFont="1" applyFill="1" applyBorder="1" applyAlignment="1">
      <alignment vertical="top"/>
    </xf>
    <xf numFmtId="1" fontId="5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7" fillId="0" borderId="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8" fillId="0" borderId="0" xfId="0" applyFont="1" applyFill="1" applyBorder="1"/>
    <xf numFmtId="0" fontId="1" fillId="0" borderId="0" xfId="0" applyFont="1" applyFill="1" applyBorder="1" applyAlignment="1">
      <alignment wrapText="1"/>
    </xf>
    <xf numFmtId="1" fontId="15" fillId="0" borderId="6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vertical="top"/>
    </xf>
    <xf numFmtId="0" fontId="22" fillId="2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/>
    <xf numFmtId="1" fontId="30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wrapText="1"/>
    </xf>
    <xf numFmtId="0" fontId="25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9" fillId="0" borderId="1" xfId="0" applyNumberFormat="1" applyFont="1" applyFill="1" applyBorder="1" applyAlignment="1" applyProtection="1">
      <alignment wrapText="1"/>
    </xf>
    <xf numFmtId="0" fontId="8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Atdalītāji" xfId="1" builtinId="3"/>
    <cellStyle name="Hipersaite" xfId="2" builtinId="8"/>
    <cellStyle name="Parastai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1"/>
  <sheetViews>
    <sheetView zoomScale="89" zoomScaleNormal="89" workbookViewId="0">
      <selection activeCell="C4" sqref="C4:G4"/>
    </sheetView>
  </sheetViews>
  <sheetFormatPr defaultRowHeight="15"/>
  <cols>
    <col min="1" max="1" width="15.42578125" customWidth="1"/>
    <col min="2" max="2" width="34.7109375" customWidth="1"/>
    <col min="3" max="3" width="17.42578125" customWidth="1"/>
    <col min="4" max="4" width="15.7109375" customWidth="1"/>
    <col min="5" max="5" width="17.42578125" customWidth="1"/>
    <col min="6" max="6" width="16.85546875" style="1" customWidth="1"/>
    <col min="7" max="7" width="17.7109375" customWidth="1"/>
    <col min="8" max="8" width="11.28515625" customWidth="1"/>
  </cols>
  <sheetData>
    <row r="1" spans="1:10" s="1" customFormat="1" ht="15.75">
      <c r="A1" s="8"/>
      <c r="B1" s="8"/>
      <c r="C1" s="17"/>
      <c r="D1" s="17"/>
      <c r="E1" s="8"/>
      <c r="F1" s="17"/>
      <c r="G1" s="36" t="s">
        <v>499</v>
      </c>
      <c r="H1" s="17"/>
      <c r="I1" s="17"/>
      <c r="J1" s="17"/>
    </row>
    <row r="2" spans="1:10" s="1" customFormat="1" ht="15.75" customHeight="1">
      <c r="A2" s="8"/>
      <c r="B2" s="8"/>
      <c r="C2" s="16"/>
      <c r="D2" s="16"/>
      <c r="E2" s="8"/>
      <c r="F2" s="16"/>
      <c r="G2" s="44" t="s">
        <v>152</v>
      </c>
      <c r="H2" s="16"/>
      <c r="I2" s="16"/>
      <c r="J2" s="16"/>
    </row>
    <row r="3" spans="1:10" s="1" customFormat="1" ht="15.75" customHeight="1">
      <c r="A3" s="8"/>
      <c r="B3" s="8"/>
      <c r="C3" s="16"/>
      <c r="D3" s="16"/>
      <c r="E3" s="8"/>
      <c r="F3" s="16"/>
      <c r="G3" s="44" t="s">
        <v>500</v>
      </c>
      <c r="H3" s="16"/>
      <c r="I3" s="16"/>
      <c r="J3" s="16"/>
    </row>
    <row r="4" spans="1:10" s="1" customFormat="1" ht="15.75" customHeight="1">
      <c r="A4" s="8"/>
      <c r="B4" s="8"/>
      <c r="C4" s="144" t="s">
        <v>502</v>
      </c>
      <c r="D4" s="144"/>
      <c r="E4" s="144"/>
      <c r="F4" s="144"/>
      <c r="G4" s="144"/>
      <c r="H4" s="14"/>
      <c r="I4" s="14"/>
      <c r="J4" s="14"/>
    </row>
    <row r="5" spans="1:10" s="1" customFormat="1" ht="15.75" customHeight="1">
      <c r="A5" s="8"/>
      <c r="B5" s="8"/>
      <c r="C5" s="14"/>
      <c r="D5" s="14"/>
      <c r="E5" s="14"/>
      <c r="F5" s="14"/>
      <c r="G5" s="8"/>
    </row>
    <row r="6" spans="1:10" s="1" customFormat="1" ht="15.75" customHeight="1">
      <c r="A6" s="8"/>
      <c r="B6" s="148"/>
      <c r="C6" s="148"/>
      <c r="D6" s="148"/>
      <c r="E6" s="148"/>
      <c r="F6" s="148"/>
      <c r="G6" s="8"/>
    </row>
    <row r="7" spans="1:10" s="1" customFormat="1" ht="18.75">
      <c r="A7" s="8"/>
      <c r="B7" s="149" t="s">
        <v>216</v>
      </c>
      <c r="C7" s="149"/>
      <c r="D7" s="149"/>
      <c r="E7" s="149"/>
      <c r="F7" s="149"/>
      <c r="G7" s="8"/>
    </row>
    <row r="8" spans="1:10" s="1" customFormat="1" ht="15.75">
      <c r="A8" s="8"/>
      <c r="B8" s="18"/>
      <c r="C8" s="25"/>
      <c r="D8" s="25"/>
      <c r="E8" s="25"/>
      <c r="F8" s="25"/>
      <c r="G8" s="26"/>
    </row>
    <row r="9" spans="1:10" s="1" customFormat="1" ht="15.75">
      <c r="A9" s="147" t="s">
        <v>77</v>
      </c>
      <c r="B9" s="147" t="s">
        <v>78</v>
      </c>
      <c r="C9" s="146" t="s">
        <v>143</v>
      </c>
      <c r="D9" s="146"/>
      <c r="E9" s="146"/>
      <c r="F9" s="146"/>
      <c r="G9" s="145" t="s">
        <v>147</v>
      </c>
    </row>
    <row r="10" spans="1:10" ht="47.25">
      <c r="A10" s="147"/>
      <c r="B10" s="147"/>
      <c r="C10" s="19" t="s">
        <v>148</v>
      </c>
      <c r="D10" s="19" t="s">
        <v>149</v>
      </c>
      <c r="E10" s="19" t="s">
        <v>150</v>
      </c>
      <c r="F10" s="19" t="s">
        <v>130</v>
      </c>
      <c r="G10" s="145"/>
    </row>
    <row r="11" spans="1:10" ht="15.75">
      <c r="A11" s="27"/>
      <c r="B11" s="27"/>
      <c r="C11" s="54">
        <f>C12+C44+C49+C124+C189+C205+C281+C372+C103</f>
        <v>18758247</v>
      </c>
      <c r="D11" s="54">
        <f>D12+D44+D49+D124+D189+D205+D281+D372+D103</f>
        <v>3205339</v>
      </c>
      <c r="E11" s="54">
        <f>E12+E44+E49+E124+E189+E205+E281+E372+E103</f>
        <v>8794900</v>
      </c>
      <c r="F11" s="54">
        <f>F12+F44+F49+F124+F189+F205+F281+F372+F103</f>
        <v>3942095</v>
      </c>
      <c r="G11" s="24">
        <f>G12+G44+G49+G124+G189+G205+G281+G372+G103</f>
        <v>34700581</v>
      </c>
      <c r="H11" s="3"/>
    </row>
    <row r="12" spans="1:10" ht="15.75">
      <c r="A12" s="31" t="s">
        <v>79</v>
      </c>
      <c r="B12" s="20" t="s">
        <v>80</v>
      </c>
      <c r="C12" s="23">
        <f>SUM(C13:C43)</f>
        <v>3210995</v>
      </c>
      <c r="D12" s="23">
        <f>SUM(D13:D43)</f>
        <v>65374</v>
      </c>
      <c r="E12" s="23">
        <f>SUM(E13:E43)</f>
        <v>81257</v>
      </c>
      <c r="F12" s="23">
        <f>SUM(F13:F43)</f>
        <v>0</v>
      </c>
      <c r="G12" s="24">
        <f>SUM(G13:G43)</f>
        <v>3357626</v>
      </c>
      <c r="H12" s="3"/>
    </row>
    <row r="13" spans="1:10" ht="15.75">
      <c r="A13" s="29"/>
      <c r="B13" s="21" t="s">
        <v>1</v>
      </c>
      <c r="C13" s="30">
        <f>G13-D13-F13</f>
        <v>954682</v>
      </c>
      <c r="D13" s="21">
        <v>0</v>
      </c>
      <c r="E13" s="21"/>
      <c r="F13" s="21">
        <v>0</v>
      </c>
      <c r="G13" s="24">
        <f>'4.pielikums'!B12</f>
        <v>954682</v>
      </c>
      <c r="H13" s="3"/>
    </row>
    <row r="14" spans="1:10" s="1" customFormat="1" ht="15.75">
      <c r="A14" s="29"/>
      <c r="B14" s="21" t="s">
        <v>2</v>
      </c>
      <c r="C14" s="30">
        <f>G14</f>
        <v>132830</v>
      </c>
      <c r="D14" s="21"/>
      <c r="E14" s="21"/>
      <c r="F14" s="21"/>
      <c r="G14" s="24">
        <f>'4.pielikums'!B13</f>
        <v>132830</v>
      </c>
      <c r="H14" s="3"/>
    </row>
    <row r="15" spans="1:10" ht="15.75">
      <c r="A15" s="29"/>
      <c r="B15" s="55" t="s">
        <v>3</v>
      </c>
      <c r="C15" s="21">
        <f t="shared" ref="C15:C35" si="0">G15-D15</f>
        <v>28142</v>
      </c>
      <c r="D15" s="21">
        <v>3000</v>
      </c>
      <c r="E15" s="21"/>
      <c r="F15" s="21"/>
      <c r="G15" s="24">
        <f>'4.pielikums'!B14</f>
        <v>31142</v>
      </c>
      <c r="H15" s="3"/>
    </row>
    <row r="16" spans="1:10" s="1" customFormat="1" ht="15.75">
      <c r="A16" s="29"/>
      <c r="B16" s="55" t="s">
        <v>234</v>
      </c>
      <c r="C16" s="21">
        <f t="shared" si="0"/>
        <v>244880</v>
      </c>
      <c r="D16" s="21"/>
      <c r="E16" s="21"/>
      <c r="F16" s="21"/>
      <c r="G16" s="24">
        <f>'4.pielikums'!B15</f>
        <v>244880</v>
      </c>
      <c r="H16" s="3"/>
    </row>
    <row r="17" spans="1:8" ht="15.75">
      <c r="A17" s="29"/>
      <c r="B17" s="55" t="s">
        <v>4</v>
      </c>
      <c r="C17" s="21">
        <f t="shared" si="0"/>
        <v>41048</v>
      </c>
      <c r="D17" s="21">
        <v>3700</v>
      </c>
      <c r="E17" s="21"/>
      <c r="F17" s="21"/>
      <c r="G17" s="24">
        <f>'4.pielikums'!B16</f>
        <v>44748</v>
      </c>
      <c r="H17" s="3"/>
    </row>
    <row r="18" spans="1:8" ht="15.75">
      <c r="A18" s="29"/>
      <c r="B18" s="55" t="s">
        <v>5</v>
      </c>
      <c r="C18" s="21">
        <f t="shared" si="0"/>
        <v>70323</v>
      </c>
      <c r="D18" s="21">
        <v>2190</v>
      </c>
      <c r="E18" s="21"/>
      <c r="F18" s="21"/>
      <c r="G18" s="24">
        <f>'4.pielikums'!B17</f>
        <v>72513</v>
      </c>
      <c r="H18" s="3"/>
    </row>
    <row r="19" spans="1:8" ht="15.75">
      <c r="A19" s="29"/>
      <c r="B19" s="55" t="s">
        <v>6</v>
      </c>
      <c r="C19" s="21">
        <f t="shared" si="0"/>
        <v>39825</v>
      </c>
      <c r="D19" s="21">
        <v>900</v>
      </c>
      <c r="E19" s="21"/>
      <c r="F19" s="21"/>
      <c r="G19" s="24">
        <f>'4.pielikums'!B18</f>
        <v>40725</v>
      </c>
      <c r="H19" s="3"/>
    </row>
    <row r="20" spans="1:8" ht="15.75">
      <c r="A20" s="29"/>
      <c r="B20" s="55" t="s">
        <v>7</v>
      </c>
      <c r="C20" s="21">
        <f t="shared" si="0"/>
        <v>52755</v>
      </c>
      <c r="D20" s="21">
        <v>2000</v>
      </c>
      <c r="E20" s="21"/>
      <c r="F20" s="21"/>
      <c r="G20" s="24">
        <f>'4.pielikums'!B19</f>
        <v>54755</v>
      </c>
      <c r="H20" s="3"/>
    </row>
    <row r="21" spans="1:8" ht="15.75">
      <c r="A21" s="29"/>
      <c r="B21" s="55" t="s">
        <v>8</v>
      </c>
      <c r="C21" s="21">
        <f t="shared" si="0"/>
        <v>50580</v>
      </c>
      <c r="D21" s="21">
        <v>1580</v>
      </c>
      <c r="E21" s="21"/>
      <c r="F21" s="21"/>
      <c r="G21" s="24">
        <f>'4.pielikums'!B20</f>
        <v>52160</v>
      </c>
      <c r="H21" s="3"/>
    </row>
    <row r="22" spans="1:8" s="1" customFormat="1" ht="15.75">
      <c r="A22" s="29"/>
      <c r="B22" s="55" t="s">
        <v>235</v>
      </c>
      <c r="C22" s="30">
        <f>G22-D22</f>
        <v>40158</v>
      </c>
      <c r="D22" s="21">
        <v>525</v>
      </c>
      <c r="E22" s="21"/>
      <c r="F22" s="21"/>
      <c r="G22" s="24">
        <f>'4.pielikums'!B21</f>
        <v>40683</v>
      </c>
      <c r="H22" s="3"/>
    </row>
    <row r="23" spans="1:8" s="1" customFormat="1" ht="15.75">
      <c r="A23" s="29"/>
      <c r="B23" s="55" t="s">
        <v>311</v>
      </c>
      <c r="C23" s="30">
        <v>2275</v>
      </c>
      <c r="D23" s="21"/>
      <c r="E23" s="21"/>
      <c r="F23" s="21"/>
      <c r="G23" s="24">
        <f>'4.pielikums'!B22</f>
        <v>2275</v>
      </c>
      <c r="H23" s="3"/>
    </row>
    <row r="24" spans="1:8" ht="15.75">
      <c r="A24" s="29"/>
      <c r="B24" s="55" t="s">
        <v>9</v>
      </c>
      <c r="C24" s="21">
        <f t="shared" si="0"/>
        <v>37644</v>
      </c>
      <c r="D24" s="21">
        <v>1800</v>
      </c>
      <c r="E24" s="21"/>
      <c r="F24" s="21"/>
      <c r="G24" s="24">
        <f>'4.pielikums'!B23</f>
        <v>39444</v>
      </c>
      <c r="H24" s="3"/>
    </row>
    <row r="25" spans="1:8" s="1" customFormat="1" ht="15.75">
      <c r="A25" s="29"/>
      <c r="B25" s="143" t="s">
        <v>236</v>
      </c>
      <c r="C25" s="21">
        <f t="shared" si="0"/>
        <v>33247</v>
      </c>
      <c r="D25" s="21">
        <v>385</v>
      </c>
      <c r="E25" s="21"/>
      <c r="F25" s="21"/>
      <c r="G25" s="24">
        <f>'4.pielikums'!B24</f>
        <v>33632</v>
      </c>
      <c r="H25" s="3"/>
    </row>
    <row r="26" spans="1:8" s="1" customFormat="1" ht="15.75">
      <c r="A26" s="29"/>
      <c r="B26" s="143" t="s">
        <v>310</v>
      </c>
      <c r="C26" s="21">
        <f t="shared" si="0"/>
        <v>282028</v>
      </c>
      <c r="D26" s="21"/>
      <c r="E26" s="21"/>
      <c r="F26" s="21"/>
      <c r="G26" s="24">
        <f>'4.pielikums'!B25</f>
        <v>282028</v>
      </c>
      <c r="H26" s="3"/>
    </row>
    <row r="27" spans="1:8" s="1" customFormat="1" ht="24" customHeight="1">
      <c r="A27" s="29"/>
      <c r="B27" s="143" t="s">
        <v>237</v>
      </c>
      <c r="C27" s="21">
        <f t="shared" si="0"/>
        <v>19332</v>
      </c>
      <c r="D27" s="21">
        <v>569</v>
      </c>
      <c r="E27" s="21"/>
      <c r="F27" s="21"/>
      <c r="G27" s="24">
        <f>'4.pielikums'!B26</f>
        <v>19901</v>
      </c>
      <c r="H27" s="3"/>
    </row>
    <row r="28" spans="1:8" s="1" customFormat="1" ht="24" customHeight="1">
      <c r="A28" s="29"/>
      <c r="B28" s="143" t="s">
        <v>238</v>
      </c>
      <c r="C28" s="21">
        <f t="shared" si="0"/>
        <v>39636</v>
      </c>
      <c r="D28" s="21">
        <v>1076</v>
      </c>
      <c r="E28" s="21"/>
      <c r="F28" s="21"/>
      <c r="G28" s="24">
        <f>'4.pielikums'!B27</f>
        <v>40712</v>
      </c>
      <c r="H28" s="3"/>
    </row>
    <row r="29" spans="1:8" ht="15.75">
      <c r="A29" s="29"/>
      <c r="B29" s="55" t="s">
        <v>10</v>
      </c>
      <c r="C29" s="21">
        <f t="shared" si="0"/>
        <v>51471</v>
      </c>
      <c r="D29" s="21">
        <v>17000</v>
      </c>
      <c r="E29" s="21"/>
      <c r="F29" s="21"/>
      <c r="G29" s="24">
        <f>'4.pielikums'!B28</f>
        <v>68471</v>
      </c>
      <c r="H29" s="3"/>
    </row>
    <row r="30" spans="1:8" ht="15.75">
      <c r="A30" s="29"/>
      <c r="B30" s="55" t="s">
        <v>11</v>
      </c>
      <c r="C30" s="21">
        <f t="shared" si="0"/>
        <v>41607</v>
      </c>
      <c r="D30" s="21">
        <v>6620</v>
      </c>
      <c r="E30" s="21"/>
      <c r="F30" s="21"/>
      <c r="G30" s="24">
        <f>'4.pielikums'!B29</f>
        <v>48227</v>
      </c>
      <c r="H30" s="3"/>
    </row>
    <row r="31" spans="1:8" s="1" customFormat="1" ht="15.75">
      <c r="A31" s="29"/>
      <c r="B31" s="55" t="s">
        <v>239</v>
      </c>
      <c r="C31" s="21">
        <f t="shared" si="0"/>
        <v>32222</v>
      </c>
      <c r="D31" s="21">
        <v>1300</v>
      </c>
      <c r="E31" s="21"/>
      <c r="F31" s="21"/>
      <c r="G31" s="24">
        <f>'4.pielikums'!B30</f>
        <v>33522</v>
      </c>
      <c r="H31" s="3"/>
    </row>
    <row r="32" spans="1:8" ht="15.75">
      <c r="A32" s="29"/>
      <c r="B32" s="55" t="s">
        <v>12</v>
      </c>
      <c r="C32" s="21">
        <f t="shared" si="0"/>
        <v>53997</v>
      </c>
      <c r="D32" s="21">
        <v>4000</v>
      </c>
      <c r="E32" s="21"/>
      <c r="F32" s="21"/>
      <c r="G32" s="24">
        <f>'4.pielikums'!B31</f>
        <v>57997</v>
      </c>
      <c r="H32" s="3"/>
    </row>
    <row r="33" spans="1:8" s="1" customFormat="1" ht="15.75">
      <c r="A33" s="29"/>
      <c r="B33" s="143" t="s">
        <v>231</v>
      </c>
      <c r="C33" s="30">
        <f>G33-D33-E33</f>
        <v>543932</v>
      </c>
      <c r="D33" s="21">
        <v>5040</v>
      </c>
      <c r="E33" s="21">
        <v>2516</v>
      </c>
      <c r="F33" s="21"/>
      <c r="G33" s="24">
        <f>'4.pielikums'!B32</f>
        <v>551488</v>
      </c>
      <c r="H33" s="3"/>
    </row>
    <row r="34" spans="1:8" s="1" customFormat="1" ht="15.75">
      <c r="A34" s="29"/>
      <c r="B34" s="143" t="s">
        <v>240</v>
      </c>
      <c r="C34" s="21">
        <f t="shared" si="0"/>
        <v>32873</v>
      </c>
      <c r="D34" s="21">
        <v>325</v>
      </c>
      <c r="E34" s="21"/>
      <c r="F34" s="21"/>
      <c r="G34" s="24">
        <f>'4.pielikums'!B33</f>
        <v>33198</v>
      </c>
      <c r="H34" s="3"/>
    </row>
    <row r="35" spans="1:8" s="1" customFormat="1" ht="15.75">
      <c r="A35" s="29"/>
      <c r="B35" s="143" t="s">
        <v>476</v>
      </c>
      <c r="C35" s="21">
        <f t="shared" si="0"/>
        <v>89517</v>
      </c>
      <c r="D35" s="21"/>
      <c r="E35" s="21"/>
      <c r="F35" s="21"/>
      <c r="G35" s="24">
        <f>'4.pielikums'!B34</f>
        <v>89517</v>
      </c>
      <c r="H35" s="3"/>
    </row>
    <row r="36" spans="1:8" s="1" customFormat="1" ht="32.450000000000003" customHeight="1">
      <c r="A36" s="29"/>
      <c r="B36" s="56" t="s">
        <v>232</v>
      </c>
      <c r="C36" s="30">
        <f>G36-E36-D36</f>
        <v>47835</v>
      </c>
      <c r="D36" s="21">
        <v>6890</v>
      </c>
      <c r="E36" s="21">
        <f>9660+6900+6900+6900</f>
        <v>30360</v>
      </c>
      <c r="F36" s="21"/>
      <c r="G36" s="24">
        <f>'4.pielikums'!B35</f>
        <v>85085</v>
      </c>
      <c r="H36" s="3"/>
    </row>
    <row r="37" spans="1:8" s="1" customFormat="1" ht="31.5">
      <c r="A37" s="29"/>
      <c r="B37" s="56" t="s">
        <v>160</v>
      </c>
      <c r="C37" s="30">
        <f>G37-E37-D37</f>
        <v>55912</v>
      </c>
      <c r="D37" s="21">
        <v>6474</v>
      </c>
      <c r="E37" s="21"/>
      <c r="F37" s="21"/>
      <c r="G37" s="24">
        <f>'4.pielikums'!B49</f>
        <v>62386</v>
      </c>
      <c r="H37" s="3"/>
    </row>
    <row r="38" spans="1:8" s="1" customFormat="1" ht="47.45" customHeight="1">
      <c r="A38" s="29"/>
      <c r="B38" s="56" t="s">
        <v>219</v>
      </c>
      <c r="C38" s="30">
        <v>13125</v>
      </c>
      <c r="D38" s="21"/>
      <c r="E38" s="21">
        <v>5625</v>
      </c>
      <c r="F38" s="21"/>
      <c r="G38" s="24">
        <f>'4.pielikums'!B40</f>
        <v>18750</v>
      </c>
      <c r="H38" s="3"/>
    </row>
    <row r="39" spans="1:8" s="1" customFormat="1" ht="65.45" customHeight="1">
      <c r="A39" s="29"/>
      <c r="B39" s="56" t="s">
        <v>220</v>
      </c>
      <c r="C39" s="30">
        <v>18100</v>
      </c>
      <c r="D39" s="21"/>
      <c r="E39" s="21">
        <v>18100</v>
      </c>
      <c r="F39" s="21"/>
      <c r="G39" s="24">
        <f>'4.pielikums'!B41</f>
        <v>36200</v>
      </c>
      <c r="H39" s="3"/>
    </row>
    <row r="40" spans="1:8" ht="47.25">
      <c r="A40" s="29"/>
      <c r="B40" s="56" t="s">
        <v>151</v>
      </c>
      <c r="C40" s="21">
        <v>54311</v>
      </c>
      <c r="D40" s="21"/>
      <c r="E40" s="21"/>
      <c r="F40" s="21"/>
      <c r="G40" s="24">
        <f>'4.pielikums'!B38</f>
        <v>54311</v>
      </c>
      <c r="H40" s="3"/>
    </row>
    <row r="41" spans="1:8" ht="35.25" customHeight="1">
      <c r="A41" s="29"/>
      <c r="B41" s="56" t="s">
        <v>13</v>
      </c>
      <c r="C41" s="21">
        <f>G41</f>
        <v>35683</v>
      </c>
      <c r="D41" s="21"/>
      <c r="E41" s="21"/>
      <c r="F41" s="21"/>
      <c r="G41" s="24">
        <f>'4.pielikums'!B36</f>
        <v>35683</v>
      </c>
      <c r="H41" s="3"/>
    </row>
    <row r="42" spans="1:8" ht="15.75">
      <c r="A42" s="29"/>
      <c r="B42" s="55" t="s">
        <v>14</v>
      </c>
      <c r="C42" s="21">
        <f>G42</f>
        <v>32021</v>
      </c>
      <c r="D42" s="21"/>
      <c r="E42" s="21"/>
      <c r="F42" s="21"/>
      <c r="G42" s="24">
        <f>'4.pielikums'!B37</f>
        <v>32021</v>
      </c>
      <c r="H42" s="3"/>
    </row>
    <row r="43" spans="1:8" s="1" customFormat="1" ht="15.75">
      <c r="A43" s="29"/>
      <c r="B43" s="55" t="s">
        <v>198</v>
      </c>
      <c r="C43" s="21">
        <v>39004</v>
      </c>
      <c r="D43" s="21"/>
      <c r="E43" s="21">
        <v>24656</v>
      </c>
      <c r="F43" s="21"/>
      <c r="G43" s="24">
        <f>'4.pielikums'!B39</f>
        <v>63660</v>
      </c>
      <c r="H43" s="3"/>
    </row>
    <row r="44" spans="1:8" ht="15.75">
      <c r="A44" s="31" t="s">
        <v>81</v>
      </c>
      <c r="B44" s="57" t="s">
        <v>82</v>
      </c>
      <c r="C44" s="23">
        <f>SUM(C45:C48)</f>
        <v>293692</v>
      </c>
      <c r="D44" s="23">
        <f t="shared" ref="D44:F44" si="1">SUM(D45:D48)</f>
        <v>12050</v>
      </c>
      <c r="E44" s="23">
        <f t="shared" si="1"/>
        <v>11239</v>
      </c>
      <c r="F44" s="23">
        <f t="shared" si="1"/>
        <v>0</v>
      </c>
      <c r="G44" s="24">
        <f>SUM(G45:G48)</f>
        <v>316981</v>
      </c>
      <c r="H44" s="3"/>
    </row>
    <row r="45" spans="1:8" ht="15.75">
      <c r="A45" s="29"/>
      <c r="B45" s="55" t="s">
        <v>16</v>
      </c>
      <c r="C45" s="30">
        <f>G45-D45-E45</f>
        <v>165955</v>
      </c>
      <c r="D45" s="21">
        <v>3000</v>
      </c>
      <c r="E45" s="21">
        <f>4620+1819</f>
        <v>6439</v>
      </c>
      <c r="F45" s="21"/>
      <c r="G45" s="24">
        <f>'4.pielikums'!B43</f>
        <v>175394</v>
      </c>
      <c r="H45" s="3"/>
    </row>
    <row r="46" spans="1:8" ht="15.75">
      <c r="A46" s="29"/>
      <c r="B46" s="55" t="s">
        <v>15</v>
      </c>
      <c r="C46" s="21">
        <f>G46-D46</f>
        <v>88802</v>
      </c>
      <c r="D46" s="21">
        <f>2600+250+200</f>
        <v>3050</v>
      </c>
      <c r="E46" s="21"/>
      <c r="F46" s="21"/>
      <c r="G46" s="24">
        <f>'4.pielikums'!B42</f>
        <v>91852</v>
      </c>
      <c r="H46" s="3"/>
    </row>
    <row r="47" spans="1:8" s="1" customFormat="1" ht="15.75">
      <c r="A47" s="29"/>
      <c r="B47" s="55" t="s">
        <v>141</v>
      </c>
      <c r="C47" s="30">
        <f>G47-D47-E47</f>
        <v>38335</v>
      </c>
      <c r="D47" s="21">
        <v>6000</v>
      </c>
      <c r="E47" s="21">
        <v>4800</v>
      </c>
      <c r="F47" s="21"/>
      <c r="G47" s="24">
        <f>'4.pielikums'!B44</f>
        <v>49135</v>
      </c>
      <c r="H47" s="3"/>
    </row>
    <row r="48" spans="1:8" s="1" customFormat="1" ht="31.5">
      <c r="A48" s="29"/>
      <c r="B48" s="56" t="s">
        <v>475</v>
      </c>
      <c r="C48" s="30">
        <v>600</v>
      </c>
      <c r="D48" s="21"/>
      <c r="E48" s="21"/>
      <c r="F48" s="21"/>
      <c r="G48" s="24">
        <f>'4.pielikums'!B45</f>
        <v>600</v>
      </c>
      <c r="H48" s="3"/>
    </row>
    <row r="49" spans="1:8" ht="15.75">
      <c r="A49" s="31" t="s">
        <v>83</v>
      </c>
      <c r="B49" s="58" t="s">
        <v>132</v>
      </c>
      <c r="C49" s="23">
        <f>SUM(C50:C102)</f>
        <v>1207437</v>
      </c>
      <c r="D49" s="23">
        <f t="shared" ref="D49:F49" si="2">SUM(D50:D102)</f>
        <v>31510</v>
      </c>
      <c r="E49" s="23">
        <f t="shared" si="2"/>
        <v>3164861</v>
      </c>
      <c r="F49" s="23">
        <f t="shared" si="2"/>
        <v>3253613</v>
      </c>
      <c r="G49" s="24">
        <f>SUM(G50:G102)</f>
        <v>7657421</v>
      </c>
      <c r="H49" s="3"/>
    </row>
    <row r="50" spans="1:8" s="1" customFormat="1" ht="15.75">
      <c r="A50" s="29"/>
      <c r="B50" s="56" t="s">
        <v>145</v>
      </c>
      <c r="C50" s="30">
        <f>G50-D50-E50-F50</f>
        <v>10727</v>
      </c>
      <c r="D50" s="23"/>
      <c r="E50" s="30">
        <f>48037+111601+17588+17973</f>
        <v>195199</v>
      </c>
      <c r="F50" s="23"/>
      <c r="G50" s="24">
        <f>'4.pielikums'!B76</f>
        <v>205926</v>
      </c>
      <c r="H50" s="3"/>
    </row>
    <row r="51" spans="1:8" ht="15.75">
      <c r="A51" s="32"/>
      <c r="B51" s="55" t="s">
        <v>84</v>
      </c>
      <c r="C51" s="30">
        <f t="shared" ref="C51:C57" si="3">G51-D51-E51-F51</f>
        <v>90866</v>
      </c>
      <c r="D51" s="21">
        <f>4050+2911+250</f>
        <v>7211</v>
      </c>
      <c r="E51" s="21"/>
      <c r="F51" s="21"/>
      <c r="G51" s="24">
        <f>'4.pielikums'!B46</f>
        <v>98077</v>
      </c>
      <c r="H51" s="3"/>
    </row>
    <row r="52" spans="1:8" s="1" customFormat="1" ht="15.75">
      <c r="A52" s="32"/>
      <c r="B52" s="99" t="s">
        <v>244</v>
      </c>
      <c r="C52" s="30">
        <f t="shared" si="3"/>
        <v>0</v>
      </c>
      <c r="D52" s="21"/>
      <c r="E52" s="21">
        <v>202616</v>
      </c>
      <c r="F52" s="21"/>
      <c r="G52" s="24">
        <f>'4.pielikums'!B59</f>
        <v>202616</v>
      </c>
      <c r="H52" s="3"/>
    </row>
    <row r="53" spans="1:8" s="1" customFormat="1" ht="15.75">
      <c r="A53" s="32"/>
      <c r="B53" s="99" t="s">
        <v>243</v>
      </c>
      <c r="C53" s="30">
        <f t="shared" si="3"/>
        <v>13823</v>
      </c>
      <c r="D53" s="21"/>
      <c r="E53" s="21">
        <v>103823</v>
      </c>
      <c r="F53" s="21">
        <v>329206</v>
      </c>
      <c r="G53" s="24">
        <f>'4.pielikums'!B60</f>
        <v>446852</v>
      </c>
      <c r="H53" s="3"/>
    </row>
    <row r="54" spans="1:8" s="1" customFormat="1" ht="15.75">
      <c r="A54" s="32"/>
      <c r="B54" s="100" t="s">
        <v>245</v>
      </c>
      <c r="C54" s="30">
        <f t="shared" si="3"/>
        <v>168845</v>
      </c>
      <c r="D54" s="21"/>
      <c r="E54" s="21">
        <v>147994</v>
      </c>
      <c r="F54" s="21"/>
      <c r="G54" s="24">
        <f>'4.pielikums'!B61</f>
        <v>316839</v>
      </c>
      <c r="H54" s="3"/>
    </row>
    <row r="55" spans="1:8" s="1" customFormat="1" ht="15.75">
      <c r="A55" s="32"/>
      <c r="B55" s="101" t="s">
        <v>313</v>
      </c>
      <c r="C55" s="30">
        <f t="shared" si="3"/>
        <v>8366</v>
      </c>
      <c r="D55" s="21"/>
      <c r="E55" s="21">
        <v>63376</v>
      </c>
      <c r="F55" s="21"/>
      <c r="G55" s="24">
        <f>'4.pielikums'!B62</f>
        <v>71742</v>
      </c>
      <c r="H55" s="3"/>
    </row>
    <row r="56" spans="1:8" s="1" customFormat="1" ht="15.75">
      <c r="A56" s="32"/>
      <c r="B56" s="141" t="s">
        <v>472</v>
      </c>
      <c r="C56" s="30">
        <f t="shared" si="3"/>
        <v>15000</v>
      </c>
      <c r="D56" s="21"/>
      <c r="E56" s="21"/>
      <c r="F56" s="21">
        <v>85000</v>
      </c>
      <c r="G56" s="24">
        <f>'4.pielikums'!B63</f>
        <v>100000</v>
      </c>
      <c r="H56" s="3"/>
    </row>
    <row r="57" spans="1:8" s="1" customFormat="1" ht="31.5">
      <c r="A57" s="32"/>
      <c r="B57" s="141" t="s">
        <v>473</v>
      </c>
      <c r="C57" s="30">
        <f t="shared" si="3"/>
        <v>46476</v>
      </c>
      <c r="D57" s="21"/>
      <c r="E57" s="21"/>
      <c r="F57" s="21">
        <v>224880</v>
      </c>
      <c r="G57" s="24">
        <f>'4.pielikums'!B64</f>
        <v>271356</v>
      </c>
      <c r="H57" s="3"/>
    </row>
    <row r="58" spans="1:8" s="1" customFormat="1" ht="31.5">
      <c r="A58" s="32"/>
      <c r="B58" s="59" t="s">
        <v>177</v>
      </c>
      <c r="C58" s="21">
        <f>130359+9802</f>
        <v>140161</v>
      </c>
      <c r="D58" s="21"/>
      <c r="E58" s="21">
        <v>137702</v>
      </c>
      <c r="F58" s="21">
        <v>0</v>
      </c>
      <c r="G58" s="24">
        <f>'4.pielikums'!B65</f>
        <v>277863</v>
      </c>
      <c r="H58" s="3"/>
    </row>
    <row r="59" spans="1:8" s="1" customFormat="1" ht="31.5">
      <c r="A59" s="32"/>
      <c r="B59" s="59" t="s">
        <v>178</v>
      </c>
      <c r="C59" s="21">
        <v>14054</v>
      </c>
      <c r="D59" s="21"/>
      <c r="E59" s="21">
        <v>25364</v>
      </c>
      <c r="F59" s="21">
        <v>0</v>
      </c>
      <c r="G59" s="24">
        <f>'4.pielikums'!B66</f>
        <v>39418</v>
      </c>
      <c r="H59" s="3"/>
    </row>
    <row r="60" spans="1:8" s="1" customFormat="1" ht="31.5">
      <c r="A60" s="32"/>
      <c r="B60" s="59" t="s">
        <v>179</v>
      </c>
      <c r="C60" s="21">
        <v>7571</v>
      </c>
      <c r="D60" s="21"/>
      <c r="E60" s="21">
        <v>23271</v>
      </c>
      <c r="F60" s="21">
        <v>0</v>
      </c>
      <c r="G60" s="24">
        <f>'4.pielikums'!B67</f>
        <v>30842</v>
      </c>
      <c r="H60" s="3"/>
    </row>
    <row r="61" spans="1:8" s="1" customFormat="1" ht="31.5">
      <c r="A61" s="32"/>
      <c r="B61" s="59" t="s">
        <v>180</v>
      </c>
      <c r="C61" s="21">
        <v>15301</v>
      </c>
      <c r="D61" s="21"/>
      <c r="E61" s="21">
        <v>46249</v>
      </c>
      <c r="F61" s="21">
        <v>0</v>
      </c>
      <c r="G61" s="24">
        <f>'4.pielikums'!B68</f>
        <v>61550</v>
      </c>
      <c r="H61" s="3"/>
    </row>
    <row r="62" spans="1:8" s="1" customFormat="1" ht="31.5">
      <c r="A62" s="32"/>
      <c r="B62" s="59" t="s">
        <v>181</v>
      </c>
      <c r="C62" s="21">
        <v>34693</v>
      </c>
      <c r="D62" s="21"/>
      <c r="E62" s="21">
        <v>29131</v>
      </c>
      <c r="F62" s="21">
        <v>0</v>
      </c>
      <c r="G62" s="24">
        <f>'4.pielikums'!B69</f>
        <v>63824</v>
      </c>
      <c r="H62" s="3"/>
    </row>
    <row r="63" spans="1:8" s="1" customFormat="1" ht="31.5">
      <c r="A63" s="32"/>
      <c r="B63" s="59" t="s">
        <v>182</v>
      </c>
      <c r="C63" s="21">
        <v>15006</v>
      </c>
      <c r="D63" s="21"/>
      <c r="E63" s="21">
        <v>18081</v>
      </c>
      <c r="F63" s="21"/>
      <c r="G63" s="24">
        <f>'4.pielikums'!B70</f>
        <v>33087</v>
      </c>
      <c r="H63" s="3"/>
    </row>
    <row r="64" spans="1:8" s="1" customFormat="1" ht="31.5">
      <c r="A64" s="32"/>
      <c r="B64" s="59" t="s">
        <v>183</v>
      </c>
      <c r="C64" s="21">
        <v>3351</v>
      </c>
      <c r="D64" s="21"/>
      <c r="E64" s="21">
        <v>45705</v>
      </c>
      <c r="F64" s="21"/>
      <c r="G64" s="24">
        <f>'4.pielikums'!B71</f>
        <v>49056</v>
      </c>
      <c r="H64" s="3"/>
    </row>
    <row r="65" spans="1:8" s="1" customFormat="1" ht="31.5">
      <c r="A65" s="32"/>
      <c r="B65" s="59" t="s">
        <v>184</v>
      </c>
      <c r="C65" s="21">
        <v>314</v>
      </c>
      <c r="D65" s="21"/>
      <c r="E65" s="21">
        <v>13686</v>
      </c>
      <c r="F65" s="21"/>
      <c r="G65" s="24">
        <f>'4.pielikums'!B72</f>
        <v>14000</v>
      </c>
      <c r="H65" s="3"/>
    </row>
    <row r="66" spans="1:8" s="1" customFormat="1" ht="31.5">
      <c r="A66" s="32"/>
      <c r="B66" s="59" t="s">
        <v>185</v>
      </c>
      <c r="C66" s="21">
        <v>12478</v>
      </c>
      <c r="D66" s="21"/>
      <c r="E66" s="21">
        <v>41143</v>
      </c>
      <c r="F66" s="21"/>
      <c r="G66" s="24">
        <f>'4.pielikums'!B73</f>
        <v>53621</v>
      </c>
      <c r="H66" s="3"/>
    </row>
    <row r="67" spans="1:8" s="1" customFormat="1" ht="31.5">
      <c r="A67" s="32"/>
      <c r="B67" s="59" t="s">
        <v>186</v>
      </c>
      <c r="C67" s="21">
        <v>10967</v>
      </c>
      <c r="D67" s="21"/>
      <c r="E67" s="21">
        <v>12431</v>
      </c>
      <c r="F67" s="21"/>
      <c r="G67" s="24">
        <f>'4.pielikums'!B74</f>
        <v>23398</v>
      </c>
      <c r="H67" s="3"/>
    </row>
    <row r="68" spans="1:8" s="1" customFormat="1" ht="31.5">
      <c r="A68" s="32"/>
      <c r="B68" s="59" t="s">
        <v>187</v>
      </c>
      <c r="C68" s="21">
        <v>8914</v>
      </c>
      <c r="D68" s="21"/>
      <c r="E68" s="21">
        <v>25782</v>
      </c>
      <c r="F68" s="21"/>
      <c r="G68" s="24">
        <f>'4.pielikums'!B75</f>
        <v>34696</v>
      </c>
      <c r="H68" s="3"/>
    </row>
    <row r="69" spans="1:8" s="1" customFormat="1" ht="31.5">
      <c r="A69" s="32"/>
      <c r="B69" s="59" t="s">
        <v>316</v>
      </c>
      <c r="C69" s="21">
        <v>2247</v>
      </c>
      <c r="D69" s="21"/>
      <c r="E69" s="21">
        <v>1750</v>
      </c>
      <c r="F69" s="21"/>
      <c r="G69" s="24">
        <f>'4.pielikums'!B78</f>
        <v>3997</v>
      </c>
      <c r="H69" s="3"/>
    </row>
    <row r="70" spans="1:8" s="1" customFormat="1" ht="15.75">
      <c r="A70" s="32"/>
      <c r="B70" s="99" t="s">
        <v>322</v>
      </c>
      <c r="C70" s="21">
        <v>26092</v>
      </c>
      <c r="D70" s="21"/>
      <c r="E70" s="21">
        <v>200000</v>
      </c>
      <c r="F70" s="21">
        <v>375362</v>
      </c>
      <c r="G70" s="24">
        <f>'4.pielikums'!B80</f>
        <v>601454</v>
      </c>
      <c r="H70" s="3"/>
    </row>
    <row r="71" spans="1:8" s="1" customFormat="1" ht="15.75">
      <c r="A71" s="32"/>
      <c r="B71" s="99" t="s">
        <v>321</v>
      </c>
      <c r="C71" s="21">
        <v>2350</v>
      </c>
      <c r="D71" s="21"/>
      <c r="E71" s="21"/>
      <c r="F71" s="21"/>
      <c r="G71" s="24">
        <f>'4.pielikums'!B81</f>
        <v>2350</v>
      </c>
      <c r="H71" s="3"/>
    </row>
    <row r="72" spans="1:8" s="1" customFormat="1" ht="31.5">
      <c r="A72" s="32"/>
      <c r="B72" s="99" t="s">
        <v>320</v>
      </c>
      <c r="C72" s="21"/>
      <c r="D72" s="21"/>
      <c r="E72" s="21">
        <v>42799</v>
      </c>
      <c r="F72" s="21"/>
      <c r="G72" s="24">
        <f>'4.pielikums'!B82</f>
        <v>42799</v>
      </c>
      <c r="H72" s="3"/>
    </row>
    <row r="73" spans="1:8" s="1" customFormat="1" ht="15.75">
      <c r="A73" s="32"/>
      <c r="B73" s="99" t="s">
        <v>319</v>
      </c>
      <c r="C73" s="21">
        <v>14834</v>
      </c>
      <c r="D73" s="21">
        <v>6500</v>
      </c>
      <c r="E73" s="21"/>
      <c r="F73" s="21"/>
      <c r="G73" s="24">
        <f>'4.pielikums'!B83</f>
        <v>21334</v>
      </c>
      <c r="H73" s="3"/>
    </row>
    <row r="74" spans="1:8" s="1" customFormat="1" ht="15.75">
      <c r="A74" s="32"/>
      <c r="B74" s="99" t="s">
        <v>318</v>
      </c>
      <c r="C74" s="21">
        <v>1628</v>
      </c>
      <c r="D74" s="21"/>
      <c r="E74" s="21"/>
      <c r="F74" s="21"/>
      <c r="G74" s="24">
        <f>'4.pielikums'!B84</f>
        <v>1628</v>
      </c>
    </row>
    <row r="75" spans="1:8" s="1" customFormat="1" ht="31.5">
      <c r="A75" s="32"/>
      <c r="B75" s="99" t="s">
        <v>317</v>
      </c>
      <c r="C75" s="21"/>
      <c r="D75" s="21"/>
      <c r="E75" s="21">
        <v>252995</v>
      </c>
      <c r="F75" s="21"/>
      <c r="G75" s="24">
        <f>'4.pielikums'!B85</f>
        <v>252995</v>
      </c>
    </row>
    <row r="76" spans="1:8" s="1" customFormat="1" ht="47.25">
      <c r="A76" s="32"/>
      <c r="B76" s="99" t="s">
        <v>479</v>
      </c>
      <c r="C76" s="21">
        <v>5053</v>
      </c>
      <c r="D76" s="21"/>
      <c r="E76" s="21"/>
      <c r="F76" s="21"/>
      <c r="G76" s="24">
        <f>'4.pielikums'!B95</f>
        <v>5053</v>
      </c>
    </row>
    <row r="77" spans="1:8" s="1" customFormat="1" ht="47.25">
      <c r="A77" s="32"/>
      <c r="B77" s="99" t="s">
        <v>481</v>
      </c>
      <c r="C77" s="21">
        <v>6540</v>
      </c>
      <c r="D77" s="21"/>
      <c r="E77" s="21"/>
      <c r="F77" s="21"/>
      <c r="G77" s="24">
        <f>'4.pielikums'!B96</f>
        <v>6540</v>
      </c>
    </row>
    <row r="78" spans="1:8" s="1" customFormat="1" ht="47.25" customHeight="1">
      <c r="A78" s="102"/>
      <c r="B78" s="56" t="s">
        <v>195</v>
      </c>
      <c r="C78" s="21"/>
      <c r="D78" s="21"/>
      <c r="E78" s="21"/>
      <c r="F78" s="21">
        <v>36209</v>
      </c>
      <c r="G78" s="24">
        <f>'4.pielikums'!B86</f>
        <v>36209</v>
      </c>
    </row>
    <row r="79" spans="1:8" s="1" customFormat="1" ht="51" customHeight="1">
      <c r="A79" s="32"/>
      <c r="B79" s="56" t="s">
        <v>212</v>
      </c>
      <c r="C79" s="21">
        <v>93929</v>
      </c>
      <c r="D79" s="21"/>
      <c r="E79" s="21"/>
      <c r="F79" s="21"/>
      <c r="G79" s="24">
        <f>'4.pielikums'!B88</f>
        <v>93929</v>
      </c>
    </row>
    <row r="80" spans="1:8" s="1" customFormat="1" ht="31.5">
      <c r="A80" s="32"/>
      <c r="B80" s="56" t="s">
        <v>213</v>
      </c>
      <c r="C80" s="21">
        <v>42300</v>
      </c>
      <c r="D80" s="21"/>
      <c r="E80" s="21"/>
      <c r="F80" s="21">
        <v>98699</v>
      </c>
      <c r="G80" s="24">
        <f>'4.pielikums'!B89</f>
        <v>140999</v>
      </c>
    </row>
    <row r="81" spans="1:8" s="1" customFormat="1" ht="31.5">
      <c r="A81" s="29"/>
      <c r="B81" s="56" t="s">
        <v>197</v>
      </c>
      <c r="C81" s="21">
        <f>2581+251</f>
        <v>2832</v>
      </c>
      <c r="D81" s="21"/>
      <c r="E81" s="21"/>
      <c r="F81" s="21"/>
      <c r="G81" s="24">
        <f>'4.pielikums'!B87</f>
        <v>2832</v>
      </c>
    </row>
    <row r="82" spans="1:8" ht="38.25" customHeight="1">
      <c r="A82" s="29"/>
      <c r="B82" s="56" t="s">
        <v>158</v>
      </c>
      <c r="C82" s="21">
        <f>2618+706</f>
        <v>3324</v>
      </c>
      <c r="D82" s="21"/>
      <c r="E82" s="21"/>
      <c r="F82" s="21"/>
      <c r="G82" s="24">
        <f>'4.pielikums'!B48</f>
        <v>3324</v>
      </c>
      <c r="H82" s="1"/>
    </row>
    <row r="83" spans="1:8" ht="15.75">
      <c r="A83" s="29"/>
      <c r="B83" s="56" t="s">
        <v>18</v>
      </c>
      <c r="C83" s="21">
        <v>59000</v>
      </c>
      <c r="D83" s="21"/>
      <c r="E83" s="21"/>
      <c r="F83" s="21"/>
      <c r="G83" s="24">
        <f>'4.pielikums'!B47</f>
        <v>59000</v>
      </c>
      <c r="H83" s="1"/>
    </row>
    <row r="84" spans="1:8" s="1" customFormat="1" ht="31.5">
      <c r="A84" s="29"/>
      <c r="B84" s="99" t="s">
        <v>323</v>
      </c>
      <c r="C84" s="21">
        <v>6470</v>
      </c>
      <c r="D84" s="21"/>
      <c r="E84" s="21"/>
      <c r="F84" s="21"/>
      <c r="G84" s="24">
        <f>'4.pielikums'!B52</f>
        <v>6470</v>
      </c>
    </row>
    <row r="85" spans="1:8" s="1" customFormat="1" ht="15.75">
      <c r="A85" s="29"/>
      <c r="B85" s="99" t="s">
        <v>324</v>
      </c>
      <c r="C85" s="21">
        <v>16000</v>
      </c>
      <c r="D85" s="21"/>
      <c r="E85" s="21"/>
      <c r="F85" s="21"/>
      <c r="G85" s="24">
        <f>'4.pielikums'!B53</f>
        <v>16000</v>
      </c>
    </row>
    <row r="86" spans="1:8" s="1" customFormat="1" ht="15.75">
      <c r="A86" s="29"/>
      <c r="B86" s="56" t="s">
        <v>326</v>
      </c>
      <c r="C86" s="30">
        <v>8000</v>
      </c>
      <c r="D86" s="21"/>
      <c r="E86" s="21"/>
      <c r="F86" s="21"/>
      <c r="G86" s="24">
        <f>'4.pielikums'!B54</f>
        <v>8000</v>
      </c>
    </row>
    <row r="87" spans="1:8" s="1" customFormat="1" ht="15.75">
      <c r="A87" s="29"/>
      <c r="B87" s="56" t="s">
        <v>327</v>
      </c>
      <c r="C87" s="30">
        <v>5000</v>
      </c>
      <c r="D87" s="21"/>
      <c r="E87" s="21"/>
      <c r="F87" s="21"/>
      <c r="G87" s="24">
        <f>'4.pielikums'!B55</f>
        <v>5000</v>
      </c>
    </row>
    <row r="88" spans="1:8" s="1" customFormat="1" ht="31.5">
      <c r="A88" s="29"/>
      <c r="B88" s="100" t="s">
        <v>325</v>
      </c>
      <c r="C88" s="30">
        <v>4710</v>
      </c>
      <c r="D88" s="21"/>
      <c r="E88" s="21"/>
      <c r="F88" s="21"/>
      <c r="G88" s="24">
        <f>'4.pielikums'!B56</f>
        <v>4710</v>
      </c>
    </row>
    <row r="89" spans="1:8" s="1" customFormat="1" ht="15.75">
      <c r="A89" s="29"/>
      <c r="B89" s="99" t="s">
        <v>477</v>
      </c>
      <c r="C89" s="30">
        <v>3580</v>
      </c>
      <c r="D89" s="21"/>
      <c r="E89" s="21"/>
      <c r="F89" s="21"/>
      <c r="G89" s="24">
        <f>'4.pielikums'!B50</f>
        <v>3580</v>
      </c>
    </row>
    <row r="90" spans="1:8" s="1" customFormat="1" ht="15.75">
      <c r="A90" s="29"/>
      <c r="B90" s="99" t="s">
        <v>478</v>
      </c>
      <c r="C90" s="30">
        <v>9152</v>
      </c>
      <c r="D90" s="21"/>
      <c r="E90" s="21"/>
      <c r="F90" s="21"/>
      <c r="G90" s="24">
        <f>'4.pielikums'!B51</f>
        <v>9152</v>
      </c>
    </row>
    <row r="91" spans="1:8" s="1" customFormat="1" ht="31.5">
      <c r="A91" s="29"/>
      <c r="B91" s="100" t="s">
        <v>315</v>
      </c>
      <c r="C91" s="30">
        <v>9540</v>
      </c>
      <c r="D91" s="21"/>
      <c r="E91" s="21"/>
      <c r="F91" s="21"/>
      <c r="G91" s="24">
        <f>'4.pielikums'!B57</f>
        <v>9540</v>
      </c>
    </row>
    <row r="92" spans="1:8" s="1" customFormat="1" ht="31.5">
      <c r="A92" s="29"/>
      <c r="B92" s="99" t="s">
        <v>480</v>
      </c>
      <c r="C92" s="30">
        <v>6000</v>
      </c>
      <c r="D92" s="21"/>
      <c r="E92" s="21"/>
      <c r="F92" s="21"/>
      <c r="G92" s="24">
        <f>'4.pielikums'!B58</f>
        <v>6000</v>
      </c>
    </row>
    <row r="93" spans="1:8" s="1" customFormat="1" ht="31.5">
      <c r="A93" s="29"/>
      <c r="B93" s="99" t="s">
        <v>329</v>
      </c>
      <c r="C93" s="30">
        <v>1900</v>
      </c>
      <c r="D93" s="21"/>
      <c r="E93" s="21"/>
      <c r="F93" s="21"/>
      <c r="G93" s="24">
        <f>'4.pielikums'!B77</f>
        <v>1900</v>
      </c>
    </row>
    <row r="94" spans="1:8" s="1" customFormat="1" ht="31.5">
      <c r="A94" s="29"/>
      <c r="B94" s="99" t="s">
        <v>496</v>
      </c>
      <c r="C94" s="30">
        <v>2508</v>
      </c>
      <c r="D94" s="21"/>
      <c r="E94" s="21"/>
      <c r="F94" s="21"/>
      <c r="G94" s="24">
        <f>'4.pielikums'!B79</f>
        <v>2508</v>
      </c>
    </row>
    <row r="95" spans="1:8" s="1" customFormat="1" ht="47.25">
      <c r="A95" s="29"/>
      <c r="B95" s="99" t="s">
        <v>484</v>
      </c>
      <c r="C95" s="30">
        <v>15571</v>
      </c>
      <c r="D95" s="21"/>
      <c r="E95" s="21"/>
      <c r="F95" s="21"/>
      <c r="G95" s="24">
        <f>'4.pielikums'!B97</f>
        <v>15571</v>
      </c>
    </row>
    <row r="96" spans="1:8" s="1" customFormat="1" ht="98.25" customHeight="1">
      <c r="A96" s="29"/>
      <c r="B96" s="56" t="s">
        <v>221</v>
      </c>
      <c r="C96" s="30">
        <v>2617</v>
      </c>
      <c r="D96" s="21"/>
      <c r="E96" s="21"/>
      <c r="F96" s="21"/>
      <c r="G96" s="24">
        <f>'4.pielikums'!B90</f>
        <v>2617</v>
      </c>
    </row>
    <row r="97" spans="1:8" s="1" customFormat="1" ht="33" customHeight="1">
      <c r="B97" s="56" t="s">
        <v>172</v>
      </c>
      <c r="C97" s="30">
        <v>181784</v>
      </c>
      <c r="D97" s="21"/>
      <c r="E97" s="21"/>
      <c r="F97" s="21">
        <v>0</v>
      </c>
      <c r="G97" s="24">
        <f>'4.pielikums'!B91</f>
        <v>181784</v>
      </c>
    </row>
    <row r="98" spans="1:8" s="1" customFormat="1" ht="66" customHeight="1">
      <c r="A98" s="29"/>
      <c r="B98" s="56" t="s">
        <v>173</v>
      </c>
      <c r="C98" s="30">
        <v>1283</v>
      </c>
      <c r="D98" s="21"/>
      <c r="E98" s="21">
        <v>80550</v>
      </c>
      <c r="F98" s="21">
        <v>166267</v>
      </c>
      <c r="G98" s="24">
        <f>'4.pielikums'!B92</f>
        <v>248100</v>
      </c>
    </row>
    <row r="99" spans="1:8" s="1" customFormat="1" ht="53.25" customHeight="1">
      <c r="A99" s="29"/>
      <c r="B99" s="56" t="s">
        <v>175</v>
      </c>
      <c r="C99" s="30">
        <v>11802</v>
      </c>
      <c r="D99" s="21"/>
      <c r="E99" s="21">
        <v>1455214</v>
      </c>
      <c r="F99" s="21">
        <v>1791964</v>
      </c>
      <c r="G99" s="24">
        <f>'4.pielikums'!B93</f>
        <v>3258980</v>
      </c>
    </row>
    <row r="100" spans="1:8" s="1" customFormat="1" ht="62.45" customHeight="1">
      <c r="A100" s="29"/>
      <c r="B100" s="56" t="s">
        <v>176</v>
      </c>
      <c r="C100" s="30">
        <v>21483</v>
      </c>
      <c r="D100" s="21">
        <v>17799</v>
      </c>
      <c r="E100" s="21"/>
      <c r="F100" s="21"/>
      <c r="G100" s="24">
        <f>'4.pielikums'!B94</f>
        <v>39282</v>
      </c>
    </row>
    <row r="101" spans="1:8" s="1" customFormat="1" ht="21" customHeight="1">
      <c r="A101" s="29"/>
      <c r="B101" s="56" t="s">
        <v>485</v>
      </c>
      <c r="C101" s="30">
        <v>13665</v>
      </c>
      <c r="D101" s="21"/>
      <c r="E101" s="21"/>
      <c r="F101" s="21"/>
      <c r="G101" s="24">
        <f>'4.pielikums'!B98</f>
        <v>13665</v>
      </c>
    </row>
    <row r="102" spans="1:8" s="1" customFormat="1" ht="37.5" customHeight="1">
      <c r="A102" s="29"/>
      <c r="B102" s="56" t="s">
        <v>209</v>
      </c>
      <c r="C102" s="30">
        <v>9330</v>
      </c>
      <c r="D102" s="21"/>
      <c r="E102" s="21"/>
      <c r="F102" s="21">
        <v>146026</v>
      </c>
      <c r="G102" s="24">
        <f>'4.pielikums'!B99</f>
        <v>155356</v>
      </c>
    </row>
    <row r="103" spans="1:8" s="1" customFormat="1" ht="32.25" customHeight="1">
      <c r="A103" s="31" t="s">
        <v>188</v>
      </c>
      <c r="B103" s="57" t="s">
        <v>189</v>
      </c>
      <c r="C103" s="30">
        <f>SUM(C104:C123)</f>
        <v>148878</v>
      </c>
      <c r="D103" s="30">
        <f>SUM(D104:D123)</f>
        <v>50375</v>
      </c>
      <c r="E103" s="30">
        <f>SUM(E104:E123)</f>
        <v>268606</v>
      </c>
      <c r="F103" s="30">
        <f>SUM(F104:F123)</f>
        <v>154531</v>
      </c>
      <c r="G103" s="24">
        <f>SUM(G104:G123)</f>
        <v>622390</v>
      </c>
      <c r="H103" s="3"/>
    </row>
    <row r="104" spans="1:8" s="1" customFormat="1" ht="43.5" customHeight="1">
      <c r="A104" s="29"/>
      <c r="B104" s="60" t="s">
        <v>190</v>
      </c>
      <c r="C104" s="30">
        <v>65500</v>
      </c>
      <c r="D104" s="21"/>
      <c r="E104" s="21"/>
      <c r="F104" s="21"/>
      <c r="G104" s="24">
        <f>'4.pielikums'!B101</f>
        <v>65500</v>
      </c>
    </row>
    <row r="105" spans="1:8" s="1" customFormat="1" ht="66" customHeight="1">
      <c r="A105" s="29"/>
      <c r="B105" s="61" t="s">
        <v>191</v>
      </c>
      <c r="C105" s="30">
        <v>24008</v>
      </c>
      <c r="D105" s="21"/>
      <c r="E105" s="21"/>
      <c r="F105" s="21"/>
      <c r="G105" s="24">
        <f>'4.pielikums'!B102</f>
        <v>24008</v>
      </c>
    </row>
    <row r="106" spans="1:8" s="1" customFormat="1" ht="54.75" customHeight="1">
      <c r="A106" s="29"/>
      <c r="B106" s="61" t="s">
        <v>214</v>
      </c>
      <c r="C106" s="30"/>
      <c r="D106" s="21"/>
      <c r="E106" s="21">
        <v>251241</v>
      </c>
      <c r="F106" s="21">
        <v>154531</v>
      </c>
      <c r="G106" s="24">
        <f>'4.pielikums'!B100</f>
        <v>405772</v>
      </c>
    </row>
    <row r="107" spans="1:8" s="1" customFormat="1" ht="38.25" customHeight="1">
      <c r="A107" s="29"/>
      <c r="B107" s="110" t="s">
        <v>330</v>
      </c>
      <c r="C107" s="30">
        <v>712</v>
      </c>
      <c r="D107" s="21"/>
      <c r="E107" s="21"/>
      <c r="F107" s="21"/>
      <c r="G107" s="24">
        <f>'4.pielikums'!B103</f>
        <v>712</v>
      </c>
    </row>
    <row r="108" spans="1:8" s="1" customFormat="1" ht="37.5" customHeight="1">
      <c r="A108" s="29"/>
      <c r="B108" s="111" t="s">
        <v>331</v>
      </c>
      <c r="C108" s="30">
        <v>6046</v>
      </c>
      <c r="D108" s="21"/>
      <c r="E108" s="21"/>
      <c r="F108" s="21"/>
      <c r="G108" s="24">
        <f>'4.pielikums'!B104</f>
        <v>6046</v>
      </c>
    </row>
    <row r="109" spans="1:8" s="1" customFormat="1" ht="29.25" customHeight="1">
      <c r="A109" s="29"/>
      <c r="B109" s="111" t="s">
        <v>332</v>
      </c>
      <c r="C109" s="30">
        <v>7186</v>
      </c>
      <c r="D109" s="21"/>
      <c r="E109" s="21"/>
      <c r="F109" s="21"/>
      <c r="G109" s="24">
        <f>'4.pielikums'!B105</f>
        <v>7186</v>
      </c>
    </row>
    <row r="110" spans="1:8" s="1" customFormat="1" ht="29.25" customHeight="1">
      <c r="A110" s="29"/>
      <c r="B110" s="110" t="s">
        <v>333</v>
      </c>
      <c r="C110" s="30">
        <v>35783</v>
      </c>
      <c r="D110" s="21"/>
      <c r="E110" s="21"/>
      <c r="F110" s="21"/>
      <c r="G110" s="24">
        <f>'4.pielikums'!B106</f>
        <v>35783</v>
      </c>
    </row>
    <row r="111" spans="1:8" s="1" customFormat="1" ht="29.25" customHeight="1">
      <c r="A111" s="29"/>
      <c r="B111" s="110" t="s">
        <v>486</v>
      </c>
      <c r="C111" s="30"/>
      <c r="D111" s="21"/>
      <c r="E111" s="21">
        <v>5000</v>
      </c>
      <c r="F111" s="21"/>
      <c r="G111" s="24">
        <f>'4.pielikums'!B336</f>
        <v>5000</v>
      </c>
    </row>
    <row r="112" spans="1:8" s="1" customFormat="1" ht="35.25" customHeight="1">
      <c r="A112" s="29"/>
      <c r="B112" s="110" t="s">
        <v>334</v>
      </c>
      <c r="C112" s="30">
        <v>3640</v>
      </c>
      <c r="D112" s="21">
        <v>3200</v>
      </c>
      <c r="E112" s="21"/>
      <c r="F112" s="21"/>
      <c r="G112" s="24">
        <f>'4.pielikums'!D107</f>
        <v>6840</v>
      </c>
    </row>
    <row r="113" spans="1:9" s="1" customFormat="1" ht="35.25" customHeight="1">
      <c r="A113" s="29"/>
      <c r="B113" s="110" t="s">
        <v>335</v>
      </c>
      <c r="C113" s="30"/>
      <c r="D113" s="21">
        <v>7858</v>
      </c>
      <c r="E113" s="21"/>
      <c r="F113" s="21"/>
      <c r="G113" s="24">
        <f>'4.pielikums'!D108</f>
        <v>7858</v>
      </c>
    </row>
    <row r="114" spans="1:9" s="1" customFormat="1" ht="29.25" customHeight="1">
      <c r="A114" s="29"/>
      <c r="B114" s="110" t="s">
        <v>336</v>
      </c>
      <c r="C114" s="30">
        <v>2566</v>
      </c>
      <c r="D114" s="21"/>
      <c r="E114" s="21"/>
      <c r="F114" s="21"/>
      <c r="G114" s="24">
        <f>'4.pielikums'!B109</f>
        <v>2566</v>
      </c>
    </row>
    <row r="115" spans="1:9" s="1" customFormat="1" ht="29.25" customHeight="1">
      <c r="A115" s="29"/>
      <c r="B115" s="99" t="s">
        <v>345</v>
      </c>
      <c r="C115" s="30"/>
      <c r="D115" s="21"/>
      <c r="E115" s="21">
        <v>12365</v>
      </c>
      <c r="F115" s="21"/>
      <c r="G115" s="24">
        <f>'4.pielikums'!B110</f>
        <v>12365</v>
      </c>
    </row>
    <row r="116" spans="1:9" s="1" customFormat="1" ht="29.25" customHeight="1">
      <c r="A116" s="29"/>
      <c r="B116" s="99" t="s">
        <v>344</v>
      </c>
      <c r="C116" s="30"/>
      <c r="D116" s="21">
        <v>6046</v>
      </c>
      <c r="E116" s="21"/>
      <c r="F116" s="21"/>
      <c r="G116" s="24">
        <f>'4.pielikums'!B111</f>
        <v>6046</v>
      </c>
    </row>
    <row r="117" spans="1:9" s="1" customFormat="1" ht="29.25" customHeight="1">
      <c r="A117" s="29"/>
      <c r="B117" s="99" t="s">
        <v>343</v>
      </c>
      <c r="C117" s="30">
        <v>1420</v>
      </c>
      <c r="D117" s="21">
        <v>2344</v>
      </c>
      <c r="E117" s="21"/>
      <c r="F117" s="21"/>
      <c r="G117" s="24">
        <f>'4.pielikums'!B112</f>
        <v>3764</v>
      </c>
    </row>
    <row r="118" spans="1:9" s="1" customFormat="1" ht="29.25" customHeight="1">
      <c r="A118" s="29"/>
      <c r="B118" s="99" t="s">
        <v>342</v>
      </c>
      <c r="C118" s="30"/>
      <c r="D118" s="21">
        <v>3575</v>
      </c>
      <c r="E118" s="21"/>
      <c r="F118" s="21"/>
      <c r="G118" s="24">
        <f>'4.pielikums'!B113</f>
        <v>3575</v>
      </c>
    </row>
    <row r="119" spans="1:9" s="1" customFormat="1" ht="29.25" customHeight="1">
      <c r="A119" s="29"/>
      <c r="B119" s="99" t="s">
        <v>341</v>
      </c>
      <c r="C119" s="30"/>
      <c r="D119" s="21">
        <v>1179</v>
      </c>
      <c r="E119" s="21"/>
      <c r="F119" s="21"/>
      <c r="G119" s="24">
        <f>'4.pielikums'!B114</f>
        <v>1179</v>
      </c>
    </row>
    <row r="120" spans="1:9" s="1" customFormat="1" ht="29.25" customHeight="1">
      <c r="A120" s="29"/>
      <c r="B120" s="99" t="s">
        <v>340</v>
      </c>
      <c r="C120" s="30">
        <v>385</v>
      </c>
      <c r="D120" s="21">
        <v>309</v>
      </c>
      <c r="E120" s="21"/>
      <c r="F120" s="21"/>
      <c r="G120" s="24">
        <f>'4.pielikums'!B115</f>
        <v>694</v>
      </c>
    </row>
    <row r="121" spans="1:9" s="1" customFormat="1" ht="29.25" customHeight="1">
      <c r="A121" s="29"/>
      <c r="B121" s="99" t="s">
        <v>339</v>
      </c>
      <c r="C121" s="30">
        <v>1632</v>
      </c>
      <c r="D121" s="21">
        <v>4993</v>
      </c>
      <c r="E121" s="21"/>
      <c r="F121" s="21"/>
      <c r="G121" s="24">
        <f>'4.pielikums'!B116</f>
        <v>6625</v>
      </c>
    </row>
    <row r="122" spans="1:9" s="1" customFormat="1" ht="29.25" customHeight="1">
      <c r="A122" s="29"/>
      <c r="B122" s="99" t="s">
        <v>338</v>
      </c>
      <c r="C122" s="30"/>
      <c r="D122" s="21">
        <v>17871</v>
      </c>
      <c r="E122" s="21"/>
      <c r="F122" s="21"/>
      <c r="G122" s="24">
        <f>'4.pielikums'!B117</f>
        <v>17871</v>
      </c>
    </row>
    <row r="123" spans="1:9" s="1" customFormat="1" ht="48.75" customHeight="1">
      <c r="A123" s="29"/>
      <c r="B123" s="99" t="s">
        <v>337</v>
      </c>
      <c r="C123" s="30"/>
      <c r="D123" s="21">
        <v>3000</v>
      </c>
      <c r="E123" s="21"/>
      <c r="F123" s="21"/>
      <c r="G123" s="24">
        <f>'4.pielikums'!B118</f>
        <v>3000</v>
      </c>
    </row>
    <row r="124" spans="1:9" ht="31.5">
      <c r="A124" s="33" t="s">
        <v>85</v>
      </c>
      <c r="B124" s="57" t="s">
        <v>86</v>
      </c>
      <c r="C124" s="23">
        <f>C125+C127</f>
        <v>2221095</v>
      </c>
      <c r="D124" s="23">
        <f>D125+D127</f>
        <v>1648069</v>
      </c>
      <c r="E124" s="23">
        <f>E125+E127</f>
        <v>38151</v>
      </c>
      <c r="F124" s="23">
        <f>F125+F127</f>
        <v>32023</v>
      </c>
      <c r="G124" s="24">
        <f>G125+G127</f>
        <v>3939338</v>
      </c>
      <c r="H124" s="1"/>
      <c r="I124" s="3"/>
    </row>
    <row r="125" spans="1:9" ht="15.75">
      <c r="A125" s="31"/>
      <c r="B125" s="58" t="s">
        <v>87</v>
      </c>
      <c r="C125" s="23">
        <f>SUM(C126:C126)</f>
        <v>158515</v>
      </c>
      <c r="D125" s="23">
        <f>SUM(D126:D126)</f>
        <v>0</v>
      </c>
      <c r="E125" s="23">
        <f>SUM(E126:E126)</f>
        <v>0</v>
      </c>
      <c r="F125" s="23">
        <f>SUM(F126:F126)</f>
        <v>0</v>
      </c>
      <c r="G125" s="31">
        <f>SUM(G126:G126)</f>
        <v>158515</v>
      </c>
      <c r="H125" s="1"/>
    </row>
    <row r="126" spans="1:9" ht="15.75">
      <c r="A126" s="29"/>
      <c r="B126" s="55" t="s">
        <v>19</v>
      </c>
      <c r="C126" s="21">
        <v>158515</v>
      </c>
      <c r="D126" s="21"/>
      <c r="E126" s="21"/>
      <c r="F126" s="21"/>
      <c r="G126" s="24">
        <f>'4.pielikums'!B119</f>
        <v>158515</v>
      </c>
      <c r="H126" s="1"/>
    </row>
    <row r="127" spans="1:9" ht="47.25">
      <c r="A127" s="33"/>
      <c r="B127" s="57" t="s">
        <v>88</v>
      </c>
      <c r="C127" s="23">
        <f>SUM(C128:C188)</f>
        <v>2062580</v>
      </c>
      <c r="D127" s="23">
        <f t="shared" ref="D127:G127" si="4">SUM(D128:D188)</f>
        <v>1648069</v>
      </c>
      <c r="E127" s="23">
        <f t="shared" si="4"/>
        <v>38151</v>
      </c>
      <c r="F127" s="23">
        <f t="shared" si="4"/>
        <v>32023</v>
      </c>
      <c r="G127" s="24">
        <f t="shared" si="4"/>
        <v>3780823</v>
      </c>
      <c r="H127" s="1"/>
    </row>
    <row r="128" spans="1:9" ht="15.75">
      <c r="A128" s="28"/>
      <c r="B128" s="56" t="s">
        <v>20</v>
      </c>
      <c r="C128" s="30">
        <f>G128-D128-E128-F128</f>
        <v>129940</v>
      </c>
      <c r="D128" s="21"/>
      <c r="E128" s="21"/>
      <c r="F128" s="21"/>
      <c r="G128" s="24">
        <f>'4.pielikums'!B120</f>
        <v>129940</v>
      </c>
      <c r="H128" s="1"/>
    </row>
    <row r="129" spans="1:8" ht="38.25" customHeight="1">
      <c r="A129" s="29"/>
      <c r="B129" s="59" t="s">
        <v>21</v>
      </c>
      <c r="C129" s="30">
        <f t="shared" ref="C129:C188" si="5">G129-D129-E129-F129</f>
        <v>16341</v>
      </c>
      <c r="D129" s="21">
        <v>2300</v>
      </c>
      <c r="E129" s="21"/>
      <c r="F129" s="21"/>
      <c r="G129" s="24">
        <f>'4.pielikums'!B121</f>
        <v>18641</v>
      </c>
      <c r="H129" s="1"/>
    </row>
    <row r="130" spans="1:8" ht="31.5">
      <c r="A130" s="29"/>
      <c r="B130" s="59" t="s">
        <v>89</v>
      </c>
      <c r="C130" s="30">
        <f t="shared" si="5"/>
        <v>65402</v>
      </c>
      <c r="D130" s="21">
        <v>6200</v>
      </c>
      <c r="E130" s="21"/>
      <c r="F130" s="21"/>
      <c r="G130" s="24">
        <f>'4.pielikums'!B122</f>
        <v>71602</v>
      </c>
      <c r="H130" s="1"/>
    </row>
    <row r="131" spans="1:8" ht="31.5">
      <c r="A131" s="29"/>
      <c r="B131" s="59" t="s">
        <v>23</v>
      </c>
      <c r="C131" s="30">
        <f t="shared" si="5"/>
        <v>27910</v>
      </c>
      <c r="D131" s="21">
        <v>9445</v>
      </c>
      <c r="E131" s="21"/>
      <c r="F131" s="21"/>
      <c r="G131" s="24">
        <f>'4.pielikums'!B123</f>
        <v>37355</v>
      </c>
      <c r="H131" s="1"/>
    </row>
    <row r="132" spans="1:8" ht="31.5">
      <c r="A132" s="29"/>
      <c r="B132" s="59" t="s">
        <v>24</v>
      </c>
      <c r="C132" s="30">
        <f t="shared" si="5"/>
        <v>52770</v>
      </c>
      <c r="D132" s="21">
        <v>7500</v>
      </c>
      <c r="E132" s="21"/>
      <c r="F132" s="21"/>
      <c r="G132" s="24">
        <f>'4.pielikums'!B124</f>
        <v>60270</v>
      </c>
      <c r="H132" s="1"/>
    </row>
    <row r="133" spans="1:8" ht="31.5">
      <c r="A133" s="29"/>
      <c r="B133" s="59" t="s">
        <v>25</v>
      </c>
      <c r="C133" s="30">
        <f t="shared" si="5"/>
        <v>74940</v>
      </c>
      <c r="D133" s="21">
        <v>19550</v>
      </c>
      <c r="E133" s="21"/>
      <c r="F133" s="21"/>
      <c r="G133" s="24">
        <f>'4.pielikums'!B125</f>
        <v>94490</v>
      </c>
      <c r="H133" s="1"/>
    </row>
    <row r="134" spans="1:8" ht="15.75">
      <c r="A134" s="29"/>
      <c r="B134" s="59" t="s">
        <v>26</v>
      </c>
      <c r="C134" s="30">
        <f t="shared" si="5"/>
        <v>55030</v>
      </c>
      <c r="D134" s="21">
        <v>11060</v>
      </c>
      <c r="E134" s="21"/>
      <c r="F134" s="21"/>
      <c r="G134" s="24">
        <f>'4.pielikums'!B126</f>
        <v>66090</v>
      </c>
      <c r="H134" s="1"/>
    </row>
    <row r="135" spans="1:8" ht="31.5">
      <c r="A135" s="29"/>
      <c r="B135" s="59" t="s">
        <v>27</v>
      </c>
      <c r="C135" s="30">
        <f t="shared" si="5"/>
        <v>58994</v>
      </c>
      <c r="D135" s="21">
        <v>2540</v>
      </c>
      <c r="E135" s="21"/>
      <c r="F135" s="21"/>
      <c r="G135" s="24">
        <f>'4.pielikums'!B127</f>
        <v>61534</v>
      </c>
      <c r="H135" s="1"/>
    </row>
    <row r="136" spans="1:8" ht="34.5" customHeight="1">
      <c r="A136" s="29"/>
      <c r="B136" s="59" t="s">
        <v>28</v>
      </c>
      <c r="C136" s="30">
        <f t="shared" si="5"/>
        <v>102432</v>
      </c>
      <c r="D136" s="21">
        <v>58131</v>
      </c>
      <c r="E136" s="21"/>
      <c r="F136" s="21"/>
      <c r="G136" s="24">
        <f>'4.pielikums'!B128</f>
        <v>160563</v>
      </c>
      <c r="H136" s="1"/>
    </row>
    <row r="137" spans="1:8" ht="31.5">
      <c r="A137" s="29"/>
      <c r="B137" s="59" t="s">
        <v>29</v>
      </c>
      <c r="C137" s="30">
        <f t="shared" si="5"/>
        <v>47673</v>
      </c>
      <c r="D137" s="21">
        <v>1834</v>
      </c>
      <c r="E137" s="21"/>
      <c r="F137" s="21"/>
      <c r="G137" s="24">
        <f>'4.pielikums'!B129</f>
        <v>49507</v>
      </c>
      <c r="H137" s="1"/>
    </row>
    <row r="138" spans="1:8" ht="31.5">
      <c r="A138" s="29"/>
      <c r="B138" s="59" t="s">
        <v>30</v>
      </c>
      <c r="C138" s="30">
        <f t="shared" si="5"/>
        <v>66578</v>
      </c>
      <c r="D138" s="21">
        <v>6570</v>
      </c>
      <c r="E138" s="21"/>
      <c r="F138" s="21"/>
      <c r="G138" s="24">
        <f>'4.pielikums'!B130</f>
        <v>73148</v>
      </c>
      <c r="H138" s="1"/>
    </row>
    <row r="139" spans="1:8" ht="15.75">
      <c r="A139" s="29"/>
      <c r="B139" s="55" t="s">
        <v>133</v>
      </c>
      <c r="C139" s="30">
        <f t="shared" si="5"/>
        <v>276000</v>
      </c>
      <c r="D139" s="21">
        <f>1169772+39346</f>
        <v>1209118</v>
      </c>
      <c r="E139" s="21"/>
      <c r="F139" s="21"/>
      <c r="G139" s="24">
        <f>'4.pielikums'!B131</f>
        <v>1485118</v>
      </c>
      <c r="H139" s="1"/>
    </row>
    <row r="140" spans="1:8" s="1" customFormat="1" ht="52.5" customHeight="1">
      <c r="A140" s="29"/>
      <c r="B140" s="22" t="s">
        <v>218</v>
      </c>
      <c r="C140" s="30">
        <f t="shared" si="5"/>
        <v>0</v>
      </c>
      <c r="D140" s="21"/>
      <c r="E140" s="21">
        <v>23491</v>
      </c>
      <c r="F140" s="21">
        <v>32023</v>
      </c>
      <c r="G140" s="24">
        <f>'4.pielikums'!B133</f>
        <v>55514</v>
      </c>
    </row>
    <row r="141" spans="1:8" s="1" customFormat="1" ht="78.75">
      <c r="A141" s="29"/>
      <c r="B141" s="56" t="s">
        <v>171</v>
      </c>
      <c r="C141" s="30">
        <f t="shared" si="5"/>
        <v>6370</v>
      </c>
      <c r="D141" s="21">
        <v>40097</v>
      </c>
      <c r="E141" s="21"/>
      <c r="F141" s="21">
        <v>0</v>
      </c>
      <c r="G141" s="24">
        <f>'4.pielikums'!B134</f>
        <v>46467</v>
      </c>
    </row>
    <row r="142" spans="1:8" s="1" customFormat="1" ht="15.75">
      <c r="A142" s="29"/>
      <c r="B142" s="56" t="s">
        <v>366</v>
      </c>
      <c r="C142" s="30">
        <f t="shared" si="5"/>
        <v>3169</v>
      </c>
      <c r="D142" s="21"/>
      <c r="E142" s="21">
        <v>14660</v>
      </c>
      <c r="F142" s="21"/>
      <c r="G142" s="24">
        <f>'4.pielikums'!B181</f>
        <v>17829</v>
      </c>
    </row>
    <row r="143" spans="1:8" s="1" customFormat="1" ht="15.75">
      <c r="A143" s="29"/>
      <c r="B143" s="111" t="s">
        <v>361</v>
      </c>
      <c r="C143" s="30">
        <f t="shared" si="5"/>
        <v>2375</v>
      </c>
      <c r="D143" s="21"/>
      <c r="E143" s="21"/>
      <c r="F143" s="21"/>
      <c r="G143" s="24">
        <f>'4.pielikums'!B135</f>
        <v>2375</v>
      </c>
    </row>
    <row r="144" spans="1:8" s="1" customFormat="1" ht="15.75">
      <c r="A144" s="29"/>
      <c r="B144" s="111" t="s">
        <v>362</v>
      </c>
      <c r="C144" s="30">
        <f t="shared" si="5"/>
        <v>10594</v>
      </c>
      <c r="D144" s="21"/>
      <c r="E144" s="21"/>
      <c r="F144" s="21"/>
      <c r="G144" s="24">
        <f>'4.pielikums'!B136</f>
        <v>10594</v>
      </c>
    </row>
    <row r="145" spans="1:7" s="1" customFormat="1" ht="15.75">
      <c r="A145" s="29"/>
      <c r="B145" s="111" t="s">
        <v>363</v>
      </c>
      <c r="C145" s="30">
        <f t="shared" si="5"/>
        <v>3550</v>
      </c>
      <c r="D145" s="21"/>
      <c r="E145" s="21"/>
      <c r="F145" s="21"/>
      <c r="G145" s="24">
        <f>'4.pielikums'!B137</f>
        <v>3550</v>
      </c>
    </row>
    <row r="146" spans="1:7" s="1" customFormat="1" ht="15.75">
      <c r="A146" s="29"/>
      <c r="B146" s="99" t="s">
        <v>278</v>
      </c>
      <c r="C146" s="30">
        <f t="shared" si="5"/>
        <v>0</v>
      </c>
      <c r="D146" s="21">
        <v>1029</v>
      </c>
      <c r="E146" s="21"/>
      <c r="F146" s="21"/>
      <c r="G146" s="24">
        <f>'4.pielikums'!B138</f>
        <v>1029</v>
      </c>
    </row>
    <row r="147" spans="1:7" s="1" customFormat="1" ht="31.5">
      <c r="A147" s="29"/>
      <c r="B147" s="99" t="s">
        <v>277</v>
      </c>
      <c r="C147" s="30">
        <f t="shared" si="5"/>
        <v>0</v>
      </c>
      <c r="D147" s="21">
        <v>800</v>
      </c>
      <c r="E147" s="21"/>
      <c r="F147" s="21"/>
      <c r="G147" s="24">
        <f>'4.pielikums'!B139</f>
        <v>800</v>
      </c>
    </row>
    <row r="148" spans="1:7" s="1" customFormat="1" ht="15.75">
      <c r="A148" s="29"/>
      <c r="B148" s="99" t="s">
        <v>276</v>
      </c>
      <c r="C148" s="30">
        <f t="shared" si="5"/>
        <v>2251</v>
      </c>
      <c r="D148" s="21">
        <v>3810</v>
      </c>
      <c r="E148" s="21"/>
      <c r="F148" s="21"/>
      <c r="G148" s="24">
        <f>'4.pielikums'!B140</f>
        <v>6061</v>
      </c>
    </row>
    <row r="149" spans="1:7" s="1" customFormat="1" ht="15.75">
      <c r="A149" s="29"/>
      <c r="B149" s="99" t="s">
        <v>275</v>
      </c>
      <c r="C149" s="30">
        <f t="shared" si="5"/>
        <v>307136</v>
      </c>
      <c r="D149" s="21">
        <v>5294</v>
      </c>
      <c r="E149" s="21"/>
      <c r="F149" s="21"/>
      <c r="G149" s="24">
        <f>'4.pielikums'!B141</f>
        <v>312430</v>
      </c>
    </row>
    <row r="150" spans="1:7" s="1" customFormat="1" ht="31.5">
      <c r="A150" s="29"/>
      <c r="B150" s="99" t="s">
        <v>274</v>
      </c>
      <c r="C150" s="30">
        <f t="shared" si="5"/>
        <v>0</v>
      </c>
      <c r="D150" s="21">
        <v>2066</v>
      </c>
      <c r="E150" s="21"/>
      <c r="F150" s="21"/>
      <c r="G150" s="24">
        <f>'4.pielikums'!B142</f>
        <v>2066</v>
      </c>
    </row>
    <row r="151" spans="1:7" s="1" customFormat="1" ht="15.75">
      <c r="A151" s="29"/>
      <c r="B151" s="99" t="s">
        <v>273</v>
      </c>
      <c r="C151" s="30">
        <f t="shared" si="5"/>
        <v>6017</v>
      </c>
      <c r="D151" s="21">
        <v>44730</v>
      </c>
      <c r="E151" s="21"/>
      <c r="F151" s="21"/>
      <c r="G151" s="24">
        <f>'4.pielikums'!B143</f>
        <v>50747</v>
      </c>
    </row>
    <row r="152" spans="1:7" s="1" customFormat="1" ht="31.5">
      <c r="A152" s="29"/>
      <c r="B152" s="99" t="s">
        <v>272</v>
      </c>
      <c r="C152" s="30">
        <f t="shared" si="5"/>
        <v>1411</v>
      </c>
      <c r="D152" s="21"/>
      <c r="E152" s="21"/>
      <c r="F152" s="21"/>
      <c r="G152" s="24">
        <f>'4.pielikums'!B144</f>
        <v>1411</v>
      </c>
    </row>
    <row r="153" spans="1:7" s="1" customFormat="1" ht="31.5">
      <c r="A153" s="29"/>
      <c r="B153" s="99" t="s">
        <v>271</v>
      </c>
      <c r="C153" s="30">
        <f t="shared" si="5"/>
        <v>0</v>
      </c>
      <c r="D153" s="21">
        <v>2402</v>
      </c>
      <c r="E153" s="21"/>
      <c r="F153" s="21"/>
      <c r="G153" s="24">
        <f>'4.pielikums'!B145</f>
        <v>2402</v>
      </c>
    </row>
    <row r="154" spans="1:7" s="1" customFormat="1" ht="31.5">
      <c r="A154" s="29"/>
      <c r="B154" s="99" t="s">
        <v>270</v>
      </c>
      <c r="C154" s="30">
        <f t="shared" si="5"/>
        <v>0</v>
      </c>
      <c r="D154" s="21">
        <v>2155</v>
      </c>
      <c r="E154" s="21"/>
      <c r="F154" s="21"/>
      <c r="G154" s="24">
        <f>'4.pielikums'!B146</f>
        <v>2155</v>
      </c>
    </row>
    <row r="155" spans="1:7" s="1" customFormat="1" ht="15.75">
      <c r="A155" s="29"/>
      <c r="B155" s="99" t="s">
        <v>269</v>
      </c>
      <c r="C155" s="30">
        <f t="shared" si="5"/>
        <v>0</v>
      </c>
      <c r="D155" s="21">
        <v>800</v>
      </c>
      <c r="E155" s="21"/>
      <c r="F155" s="21"/>
      <c r="G155" s="24">
        <f>'4.pielikums'!B147</f>
        <v>800</v>
      </c>
    </row>
    <row r="156" spans="1:7" s="1" customFormat="1" ht="15.75">
      <c r="A156" s="29"/>
      <c r="B156" s="99" t="s">
        <v>268</v>
      </c>
      <c r="C156" s="30">
        <f t="shared" si="5"/>
        <v>2520</v>
      </c>
      <c r="D156" s="21"/>
      <c r="E156" s="21"/>
      <c r="F156" s="21"/>
      <c r="G156" s="24">
        <f>'4.pielikums'!B148</f>
        <v>2520</v>
      </c>
    </row>
    <row r="157" spans="1:7" s="1" customFormat="1" ht="15.75">
      <c r="A157" s="29"/>
      <c r="B157" s="99" t="s">
        <v>267</v>
      </c>
      <c r="C157" s="30">
        <f t="shared" si="5"/>
        <v>1746</v>
      </c>
      <c r="D157" s="21">
        <v>435</v>
      </c>
      <c r="E157" s="21"/>
      <c r="F157" s="21"/>
      <c r="G157" s="24">
        <f>'4.pielikums'!B149</f>
        <v>2181</v>
      </c>
    </row>
    <row r="158" spans="1:7" s="1" customFormat="1" ht="15.75">
      <c r="A158" s="29"/>
      <c r="B158" s="99" t="s">
        <v>266</v>
      </c>
      <c r="C158" s="30">
        <f t="shared" si="5"/>
        <v>0</v>
      </c>
      <c r="D158" s="21">
        <v>2927</v>
      </c>
      <c r="E158" s="21"/>
      <c r="F158" s="21"/>
      <c r="G158" s="24">
        <f>'4.pielikums'!B150</f>
        <v>2927</v>
      </c>
    </row>
    <row r="159" spans="1:7" s="1" customFormat="1" ht="31.5">
      <c r="A159" s="29"/>
      <c r="B159" s="99" t="s">
        <v>265</v>
      </c>
      <c r="C159" s="30">
        <f t="shared" si="5"/>
        <v>20507</v>
      </c>
      <c r="D159" s="21">
        <v>75</v>
      </c>
      <c r="E159" s="21"/>
      <c r="F159" s="21"/>
      <c r="G159" s="24">
        <f>'4.pielikums'!B151</f>
        <v>20582</v>
      </c>
    </row>
    <row r="160" spans="1:7" s="1" customFormat="1" ht="31.5">
      <c r="A160" s="29"/>
      <c r="B160" s="99" t="s">
        <v>264</v>
      </c>
      <c r="C160" s="30">
        <f t="shared" si="5"/>
        <v>1034</v>
      </c>
      <c r="D160" s="21">
        <v>2916</v>
      </c>
      <c r="E160" s="21"/>
      <c r="F160" s="21"/>
      <c r="G160" s="24">
        <f>'4.pielikums'!B152</f>
        <v>3950</v>
      </c>
    </row>
    <row r="161" spans="1:7" s="1" customFormat="1" ht="31.5">
      <c r="A161" s="29"/>
      <c r="B161" s="99" t="s">
        <v>263</v>
      </c>
      <c r="C161" s="30">
        <f t="shared" si="5"/>
        <v>82797</v>
      </c>
      <c r="D161" s="21"/>
      <c r="E161" s="21"/>
      <c r="F161" s="21"/>
      <c r="G161" s="24">
        <f>'4.pielikums'!B153</f>
        <v>82797</v>
      </c>
    </row>
    <row r="162" spans="1:7" s="1" customFormat="1" ht="31.5">
      <c r="A162" s="29"/>
      <c r="B162" s="99" t="s">
        <v>262</v>
      </c>
      <c r="C162" s="30">
        <f t="shared" si="5"/>
        <v>21100</v>
      </c>
      <c r="D162" s="21">
        <v>6400</v>
      </c>
      <c r="E162" s="21"/>
      <c r="F162" s="21"/>
      <c r="G162" s="24">
        <f>'4.pielikums'!B154</f>
        <v>27500</v>
      </c>
    </row>
    <row r="163" spans="1:7" s="1" customFormat="1" ht="31.5">
      <c r="A163" s="29"/>
      <c r="B163" s="99" t="s">
        <v>261</v>
      </c>
      <c r="C163" s="30">
        <f t="shared" si="5"/>
        <v>0</v>
      </c>
      <c r="D163" s="21">
        <v>4824</v>
      </c>
      <c r="E163" s="21"/>
      <c r="F163" s="21"/>
      <c r="G163" s="24">
        <f>'4.pielikums'!B155</f>
        <v>4824</v>
      </c>
    </row>
    <row r="164" spans="1:7" s="1" customFormat="1" ht="31.5">
      <c r="A164" s="29"/>
      <c r="B164" s="99" t="s">
        <v>260</v>
      </c>
      <c r="C164" s="30">
        <f t="shared" si="5"/>
        <v>42758</v>
      </c>
      <c r="D164" s="21">
        <v>32500</v>
      </c>
      <c r="E164" s="21"/>
      <c r="F164" s="21"/>
      <c r="G164" s="24">
        <f>'4.pielikums'!B156</f>
        <v>75258</v>
      </c>
    </row>
    <row r="165" spans="1:7" s="1" customFormat="1" ht="31.5">
      <c r="A165" s="29"/>
      <c r="B165" s="99" t="s">
        <v>259</v>
      </c>
      <c r="C165" s="30">
        <f t="shared" si="5"/>
        <v>2758</v>
      </c>
      <c r="D165" s="21"/>
      <c r="E165" s="21"/>
      <c r="F165" s="21"/>
      <c r="G165" s="24">
        <f>'4.pielikums'!B157</f>
        <v>2758</v>
      </c>
    </row>
    <row r="166" spans="1:7" s="1" customFormat="1" ht="31.5">
      <c r="A166" s="29"/>
      <c r="B166" s="99" t="s">
        <v>258</v>
      </c>
      <c r="C166" s="30">
        <f t="shared" si="5"/>
        <v>0</v>
      </c>
      <c r="D166" s="21">
        <v>2255</v>
      </c>
      <c r="E166" s="21"/>
      <c r="F166" s="21"/>
      <c r="G166" s="24">
        <f>'4.pielikums'!B158</f>
        <v>2255</v>
      </c>
    </row>
    <row r="167" spans="1:7" s="1" customFormat="1" ht="31.5">
      <c r="A167" s="29"/>
      <c r="B167" s="99" t="s">
        <v>257</v>
      </c>
      <c r="C167" s="30">
        <f t="shared" si="5"/>
        <v>299</v>
      </c>
      <c r="D167" s="21">
        <v>2668</v>
      </c>
      <c r="E167" s="21"/>
      <c r="F167" s="21"/>
      <c r="G167" s="24">
        <f>'4.pielikums'!B159</f>
        <v>2967</v>
      </c>
    </row>
    <row r="168" spans="1:7" s="1" customFormat="1" ht="31.5">
      <c r="A168" s="29"/>
      <c r="B168" s="99" t="s">
        <v>256</v>
      </c>
      <c r="C168" s="30">
        <f t="shared" si="5"/>
        <v>23256</v>
      </c>
      <c r="D168" s="21">
        <v>9400</v>
      </c>
      <c r="E168" s="21"/>
      <c r="F168" s="21"/>
      <c r="G168" s="24">
        <f>'4.pielikums'!B160</f>
        <v>32656</v>
      </c>
    </row>
    <row r="169" spans="1:7" s="1" customFormat="1" ht="15.75">
      <c r="A169" s="29"/>
      <c r="B169" s="99" t="s">
        <v>255</v>
      </c>
      <c r="C169" s="30">
        <f t="shared" si="5"/>
        <v>3414</v>
      </c>
      <c r="D169" s="21">
        <v>2600</v>
      </c>
      <c r="E169" s="21"/>
      <c r="F169" s="21"/>
      <c r="G169" s="24">
        <f>'4.pielikums'!B161</f>
        <v>6014</v>
      </c>
    </row>
    <row r="170" spans="1:7" s="1" customFormat="1" ht="31.5">
      <c r="A170" s="29"/>
      <c r="B170" s="99" t="s">
        <v>254</v>
      </c>
      <c r="C170" s="30">
        <f t="shared" si="5"/>
        <v>18493</v>
      </c>
      <c r="D170" s="21"/>
      <c r="E170" s="21"/>
      <c r="F170" s="21"/>
      <c r="G170" s="24">
        <f>'4.pielikums'!B162</f>
        <v>18493</v>
      </c>
    </row>
    <row r="171" spans="1:7" s="1" customFormat="1" ht="31.5">
      <c r="A171" s="29"/>
      <c r="B171" s="99" t="s">
        <v>253</v>
      </c>
      <c r="C171" s="30">
        <f t="shared" si="5"/>
        <v>211</v>
      </c>
      <c r="D171" s="21">
        <v>4589</v>
      </c>
      <c r="E171" s="21"/>
      <c r="F171" s="21"/>
      <c r="G171" s="24">
        <f>'4.pielikums'!B163</f>
        <v>4800</v>
      </c>
    </row>
    <row r="172" spans="1:7" s="1" customFormat="1" ht="31.5">
      <c r="A172" s="29"/>
      <c r="B172" s="99" t="s">
        <v>252</v>
      </c>
      <c r="C172" s="30">
        <f t="shared" si="5"/>
        <v>15524</v>
      </c>
      <c r="D172" s="21"/>
      <c r="E172" s="21"/>
      <c r="F172" s="21"/>
      <c r="G172" s="24">
        <f>'4.pielikums'!B164</f>
        <v>15524</v>
      </c>
    </row>
    <row r="173" spans="1:7" s="1" customFormat="1" ht="15.75">
      <c r="A173" s="29"/>
      <c r="B173" s="99" t="s">
        <v>251</v>
      </c>
      <c r="C173" s="30">
        <f t="shared" si="5"/>
        <v>12796</v>
      </c>
      <c r="D173" s="21">
        <v>48800</v>
      </c>
      <c r="E173" s="21"/>
      <c r="F173" s="21"/>
      <c r="G173" s="24">
        <f>'4.pielikums'!B165</f>
        <v>61596</v>
      </c>
    </row>
    <row r="174" spans="1:7" s="1" customFormat="1" ht="15.75">
      <c r="A174" s="29"/>
      <c r="B174" s="99" t="s">
        <v>346</v>
      </c>
      <c r="C174" s="30">
        <f t="shared" si="5"/>
        <v>7736</v>
      </c>
      <c r="D174" s="21"/>
      <c r="E174" s="21"/>
      <c r="F174" s="21"/>
      <c r="G174" s="24">
        <f>'4.pielikums'!B166</f>
        <v>7736</v>
      </c>
    </row>
    <row r="175" spans="1:7" s="1" customFormat="1" ht="31.5">
      <c r="A175" s="29"/>
      <c r="B175" s="99" t="s">
        <v>279</v>
      </c>
      <c r="C175" s="30">
        <f t="shared" si="5"/>
        <v>27348</v>
      </c>
      <c r="D175" s="21">
        <v>1750</v>
      </c>
      <c r="E175" s="21"/>
      <c r="F175" s="21"/>
      <c r="G175" s="24">
        <f>'4.pielikums'!B167</f>
        <v>29098</v>
      </c>
    </row>
    <row r="176" spans="1:7" s="1" customFormat="1" ht="31.5">
      <c r="A176" s="29"/>
      <c r="B176" s="99" t="s">
        <v>250</v>
      </c>
      <c r="C176" s="30">
        <f t="shared" si="5"/>
        <v>28465</v>
      </c>
      <c r="D176" s="21">
        <v>16700</v>
      </c>
      <c r="E176" s="21"/>
      <c r="F176" s="21"/>
      <c r="G176" s="24">
        <f>'4.pielikums'!B168</f>
        <v>45165</v>
      </c>
    </row>
    <row r="177" spans="1:8" s="1" customFormat="1" ht="31.5">
      <c r="A177" s="29"/>
      <c r="B177" s="99" t="s">
        <v>249</v>
      </c>
      <c r="C177" s="30">
        <f t="shared" si="5"/>
        <v>31621</v>
      </c>
      <c r="D177" s="21">
        <v>54770</v>
      </c>
      <c r="E177" s="21"/>
      <c r="F177" s="21"/>
      <c r="G177" s="24">
        <f>'4.pielikums'!B169</f>
        <v>86391</v>
      </c>
    </row>
    <row r="178" spans="1:8" s="1" customFormat="1" ht="31.5">
      <c r="A178" s="29"/>
      <c r="B178" s="99" t="s">
        <v>248</v>
      </c>
      <c r="C178" s="30">
        <f t="shared" si="5"/>
        <v>1457</v>
      </c>
      <c r="D178" s="21">
        <v>2500</v>
      </c>
      <c r="E178" s="21"/>
      <c r="F178" s="21"/>
      <c r="G178" s="24">
        <f>'4.pielikums'!B170</f>
        <v>3957</v>
      </c>
    </row>
    <row r="179" spans="1:8" s="1" customFormat="1" ht="15.75">
      <c r="A179" s="29"/>
      <c r="B179" s="99" t="s">
        <v>247</v>
      </c>
      <c r="C179" s="30">
        <f t="shared" si="5"/>
        <v>12099</v>
      </c>
      <c r="D179" s="21">
        <v>469</v>
      </c>
      <c r="E179" s="21"/>
      <c r="F179" s="21"/>
      <c r="G179" s="24">
        <f>'4.pielikums'!B171</f>
        <v>12568</v>
      </c>
    </row>
    <row r="180" spans="1:8" s="1" customFormat="1" ht="31.5">
      <c r="A180" s="29"/>
      <c r="B180" s="99" t="s">
        <v>246</v>
      </c>
      <c r="C180" s="30">
        <f t="shared" si="5"/>
        <v>6365</v>
      </c>
      <c r="D180" s="21"/>
      <c r="E180" s="21"/>
      <c r="F180" s="21"/>
      <c r="G180" s="24">
        <f>'4.pielikums'!B172</f>
        <v>6365</v>
      </c>
    </row>
    <row r="181" spans="1:8" s="1" customFormat="1" ht="31.5">
      <c r="A181" s="29"/>
      <c r="B181" s="100" t="s">
        <v>350</v>
      </c>
      <c r="C181" s="30">
        <f t="shared" si="5"/>
        <v>132103</v>
      </c>
      <c r="D181" s="21">
        <v>3400</v>
      </c>
      <c r="E181" s="21"/>
      <c r="F181" s="21"/>
      <c r="G181" s="24">
        <f>'4.pielikums'!B173</f>
        <v>135503</v>
      </c>
    </row>
    <row r="182" spans="1:8" s="1" customFormat="1" ht="15.75">
      <c r="A182" s="29"/>
      <c r="B182" s="100" t="s">
        <v>351</v>
      </c>
      <c r="C182" s="30">
        <f t="shared" si="5"/>
        <v>168578</v>
      </c>
      <c r="D182" s="21">
        <v>1900</v>
      </c>
      <c r="E182" s="21"/>
      <c r="F182" s="21"/>
      <c r="G182" s="24">
        <f>'4.pielikums'!B174</f>
        <v>170478</v>
      </c>
    </row>
    <row r="183" spans="1:8" s="1" customFormat="1" ht="15.75">
      <c r="A183" s="29"/>
      <c r="B183" s="113" t="s">
        <v>352</v>
      </c>
      <c r="C183" s="30">
        <f t="shared" si="5"/>
        <v>1865</v>
      </c>
      <c r="D183" s="21">
        <v>4380</v>
      </c>
      <c r="E183" s="21"/>
      <c r="F183" s="21"/>
      <c r="G183" s="24">
        <f>'4.pielikums'!B175</f>
        <v>6245</v>
      </c>
    </row>
    <row r="184" spans="1:8" s="1" customFormat="1" ht="15.75">
      <c r="A184" s="29"/>
      <c r="B184" s="113" t="s">
        <v>353</v>
      </c>
      <c r="C184" s="30">
        <f t="shared" si="5"/>
        <v>1460</v>
      </c>
      <c r="D184" s="21">
        <v>4380</v>
      </c>
      <c r="E184" s="21"/>
      <c r="F184" s="21"/>
      <c r="G184" s="24">
        <f>'4.pielikums'!B176</f>
        <v>5840</v>
      </c>
    </row>
    <row r="185" spans="1:8" s="1" customFormat="1" ht="15.75">
      <c r="A185" s="29"/>
      <c r="B185" s="100" t="s">
        <v>348</v>
      </c>
      <c r="C185" s="30">
        <f t="shared" si="5"/>
        <v>61887</v>
      </c>
      <c r="D185" s="21"/>
      <c r="E185" s="21"/>
      <c r="F185" s="21"/>
      <c r="G185" s="24">
        <f>'4.pielikums'!B177</f>
        <v>61887</v>
      </c>
    </row>
    <row r="186" spans="1:8" s="1" customFormat="1" ht="31.5">
      <c r="A186" s="29"/>
      <c r="B186" s="100" t="s">
        <v>349</v>
      </c>
      <c r="C186" s="30">
        <f t="shared" si="5"/>
        <v>10000</v>
      </c>
      <c r="D186" s="21"/>
      <c r="E186" s="21"/>
      <c r="F186" s="21"/>
      <c r="G186" s="24">
        <f>'4.pielikums'!B178</f>
        <v>10000</v>
      </c>
    </row>
    <row r="187" spans="1:8" s="1" customFormat="1" ht="31.5">
      <c r="A187" s="29"/>
      <c r="B187" s="100" t="s">
        <v>355</v>
      </c>
      <c r="C187" s="30">
        <f t="shared" si="5"/>
        <v>3700</v>
      </c>
      <c r="D187" s="21"/>
      <c r="E187" s="21"/>
      <c r="F187" s="21"/>
      <c r="G187" s="24">
        <f>'4.pielikums'!B179</f>
        <v>3700</v>
      </c>
    </row>
    <row r="188" spans="1:8" s="1" customFormat="1" ht="31.5">
      <c r="A188" s="29"/>
      <c r="B188" s="100" t="s">
        <v>354</v>
      </c>
      <c r="C188" s="30">
        <f t="shared" si="5"/>
        <v>1800</v>
      </c>
      <c r="D188" s="21"/>
      <c r="E188" s="21"/>
      <c r="F188" s="21"/>
      <c r="G188" s="24">
        <f>'4.pielikums'!B180</f>
        <v>1800</v>
      </c>
    </row>
    <row r="189" spans="1:8" ht="15.75">
      <c r="A189" s="31" t="s">
        <v>90</v>
      </c>
      <c r="B189" s="58" t="s">
        <v>91</v>
      </c>
      <c r="C189" s="23">
        <f>SUM(C190:C204)</f>
        <v>43538</v>
      </c>
      <c r="D189" s="23">
        <f t="shared" ref="D189:G189" si="6">SUM(D190:D204)</f>
        <v>618</v>
      </c>
      <c r="E189" s="23">
        <f t="shared" si="6"/>
        <v>165493</v>
      </c>
      <c r="F189" s="23">
        <f t="shared" si="6"/>
        <v>0</v>
      </c>
      <c r="G189" s="24">
        <f t="shared" si="6"/>
        <v>209649</v>
      </c>
      <c r="H189" s="1"/>
    </row>
    <row r="190" spans="1:8" ht="15.75">
      <c r="A190" s="29"/>
      <c r="B190" s="56" t="s">
        <v>92</v>
      </c>
      <c r="C190" s="21">
        <f>G190-D190-E190</f>
        <v>2180</v>
      </c>
      <c r="D190" s="21">
        <v>200</v>
      </c>
      <c r="E190" s="21">
        <v>9998</v>
      </c>
      <c r="F190" s="21"/>
      <c r="G190" s="24">
        <f>'4.pielikums'!B182</f>
        <v>12378</v>
      </c>
      <c r="H190" s="1"/>
    </row>
    <row r="191" spans="1:8" ht="15.75">
      <c r="A191" s="29"/>
      <c r="B191" s="56" t="s">
        <v>93</v>
      </c>
      <c r="C191" s="21">
        <f>G191-E191-D191</f>
        <v>1642</v>
      </c>
      <c r="D191" s="21">
        <v>60</v>
      </c>
      <c r="E191" s="21">
        <v>9998</v>
      </c>
      <c r="F191" s="21"/>
      <c r="G191" s="24">
        <f>'4.pielikums'!B183</f>
        <v>11700</v>
      </c>
      <c r="H191" s="1"/>
    </row>
    <row r="192" spans="1:8" ht="15.75">
      <c r="A192" s="29"/>
      <c r="B192" s="56" t="s">
        <v>94</v>
      </c>
      <c r="C192" s="30">
        <f>G192-D192-E192</f>
        <v>1579</v>
      </c>
      <c r="D192" s="21">
        <v>140</v>
      </c>
      <c r="E192" s="21">
        <v>9998</v>
      </c>
      <c r="F192" s="21"/>
      <c r="G192" s="24">
        <f>'4.pielikums'!B184</f>
        <v>11717</v>
      </c>
      <c r="H192" s="1"/>
    </row>
    <row r="193" spans="1:8" s="1" customFormat="1" ht="15.75">
      <c r="A193" s="29"/>
      <c r="B193" s="56" t="s">
        <v>364</v>
      </c>
      <c r="C193" s="30">
        <v>933</v>
      </c>
      <c r="D193" s="21"/>
      <c r="E193" s="21">
        <v>8283</v>
      </c>
      <c r="F193" s="21"/>
      <c r="G193" s="24">
        <f>'4.pielikums'!B185</f>
        <v>9216</v>
      </c>
    </row>
    <row r="194" spans="1:8" ht="32.25" customHeight="1">
      <c r="A194" s="29"/>
      <c r="B194" s="56" t="s">
        <v>95</v>
      </c>
      <c r="C194" s="30">
        <f>G194-D194-E194</f>
        <v>1049</v>
      </c>
      <c r="D194" s="21">
        <v>25</v>
      </c>
      <c r="E194" s="21">
        <v>9998</v>
      </c>
      <c r="F194" s="21"/>
      <c r="G194" s="24">
        <f>'4.pielikums'!B186</f>
        <v>11072</v>
      </c>
      <c r="H194" s="1"/>
    </row>
    <row r="195" spans="1:8" s="1" customFormat="1" ht="15.75">
      <c r="A195" s="29"/>
      <c r="B195" s="56" t="s">
        <v>356</v>
      </c>
      <c r="C195" s="30">
        <v>2935</v>
      </c>
      <c r="D195" s="21"/>
      <c r="E195" s="21">
        <v>9997</v>
      </c>
      <c r="F195" s="21"/>
      <c r="G195" s="24">
        <f>'4.pielikums'!B187</f>
        <v>12932</v>
      </c>
    </row>
    <row r="196" spans="1:8" s="1" customFormat="1" ht="15.75">
      <c r="A196" s="29"/>
      <c r="B196" s="99" t="s">
        <v>365</v>
      </c>
      <c r="C196" s="30">
        <v>4059</v>
      </c>
      <c r="D196" s="21">
        <v>51</v>
      </c>
      <c r="E196" s="21">
        <v>8348</v>
      </c>
      <c r="F196" s="21"/>
      <c r="G196" s="24">
        <f>'4.pielikums'!B188</f>
        <v>12458</v>
      </c>
    </row>
    <row r="197" spans="1:8" ht="15.75">
      <c r="A197" s="29"/>
      <c r="B197" s="56" t="s">
        <v>96</v>
      </c>
      <c r="C197" s="21">
        <f>G197-D197-E197</f>
        <v>2313</v>
      </c>
      <c r="D197" s="21">
        <v>25</v>
      </c>
      <c r="E197" s="21">
        <v>9998</v>
      </c>
      <c r="F197" s="21"/>
      <c r="G197" s="24">
        <f>'4.pielikums'!B189</f>
        <v>12336</v>
      </c>
      <c r="H197" s="1"/>
    </row>
    <row r="198" spans="1:8" ht="15.75">
      <c r="A198" s="29"/>
      <c r="B198" s="56" t="s">
        <v>97</v>
      </c>
      <c r="C198" s="21">
        <f>G198-D198-E198</f>
        <v>988</v>
      </c>
      <c r="D198" s="21">
        <v>117</v>
      </c>
      <c r="E198" s="21">
        <v>9998</v>
      </c>
      <c r="F198" s="21"/>
      <c r="G198" s="24">
        <f>'4.pielikums'!B190</f>
        <v>11103</v>
      </c>
      <c r="H198" s="1"/>
    </row>
    <row r="199" spans="1:8" s="1" customFormat="1" ht="47.25">
      <c r="A199" s="29"/>
      <c r="B199" s="59" t="s">
        <v>157</v>
      </c>
      <c r="C199" s="21">
        <v>13145</v>
      </c>
      <c r="D199" s="21"/>
      <c r="E199" s="21">
        <v>20155</v>
      </c>
      <c r="F199" s="21"/>
      <c r="G199" s="24">
        <f>'4.pielikums'!B192</f>
        <v>33300</v>
      </c>
    </row>
    <row r="200" spans="1:8" s="1" customFormat="1" ht="77.25" customHeight="1">
      <c r="A200" s="29"/>
      <c r="B200" s="100" t="s">
        <v>292</v>
      </c>
      <c r="C200" s="21">
        <v>3071</v>
      </c>
      <c r="D200" s="21"/>
      <c r="E200" s="21"/>
      <c r="F200" s="21"/>
      <c r="G200" s="24">
        <f>'4.pielikums'!B193</f>
        <v>3071</v>
      </c>
    </row>
    <row r="201" spans="1:8" s="1" customFormat="1" ht="34.5" customHeight="1">
      <c r="A201" s="29"/>
      <c r="B201" s="101" t="s">
        <v>358</v>
      </c>
      <c r="C201" s="21">
        <v>2523</v>
      </c>
      <c r="D201" s="21"/>
      <c r="E201" s="21"/>
      <c r="F201" s="21"/>
      <c r="G201" s="24">
        <f>'4.pielikums'!B194</f>
        <v>2523</v>
      </c>
    </row>
    <row r="202" spans="1:8" s="1" customFormat="1" ht="56.25" customHeight="1">
      <c r="A202" s="29"/>
      <c r="B202" s="99" t="s">
        <v>294</v>
      </c>
      <c r="C202" s="21"/>
      <c r="D202" s="21"/>
      <c r="E202" s="21">
        <v>16836</v>
      </c>
      <c r="F202" s="21"/>
      <c r="G202" s="24">
        <f>'4.pielikums'!B195</f>
        <v>16836</v>
      </c>
    </row>
    <row r="203" spans="1:8" s="1" customFormat="1" ht="56.25" customHeight="1">
      <c r="A203" s="29"/>
      <c r="B203" s="99" t="s">
        <v>471</v>
      </c>
      <c r="C203" s="21"/>
      <c r="D203" s="21"/>
      <c r="E203" s="21">
        <v>7000</v>
      </c>
      <c r="F203" s="21"/>
      <c r="G203" s="24">
        <f>'4.pielikums'!B196</f>
        <v>7000</v>
      </c>
    </row>
    <row r="204" spans="1:8" s="1" customFormat="1" ht="15.75">
      <c r="A204" s="29"/>
      <c r="B204" s="59" t="s">
        <v>357</v>
      </c>
      <c r="C204" s="21">
        <v>7121</v>
      </c>
      <c r="D204" s="21"/>
      <c r="E204" s="21">
        <v>34886</v>
      </c>
      <c r="F204" s="21"/>
      <c r="G204" s="24">
        <f>'4.pielikums'!B191</f>
        <v>42007</v>
      </c>
    </row>
    <row r="205" spans="1:8" ht="15.75">
      <c r="A205" s="31" t="s">
        <v>98</v>
      </c>
      <c r="B205" s="58" t="s">
        <v>99</v>
      </c>
      <c r="C205" s="23">
        <f>C206+C219+C233+C240+C266</f>
        <v>1936450</v>
      </c>
      <c r="D205" s="23">
        <f>D206+D219+D233+D240+D266</f>
        <v>66897</v>
      </c>
      <c r="E205" s="23">
        <f>E206+E219+E233+E240+E266</f>
        <v>34838</v>
      </c>
      <c r="F205" s="23">
        <f>F206+F219+F233+F240+F266</f>
        <v>501928</v>
      </c>
      <c r="G205" s="24">
        <f>G206+G219+G233+G240+G266</f>
        <v>2540113</v>
      </c>
      <c r="H205" s="1"/>
    </row>
    <row r="206" spans="1:8" ht="15.75">
      <c r="A206" s="31"/>
      <c r="B206" s="58" t="s">
        <v>100</v>
      </c>
      <c r="C206" s="23">
        <f>SUM(C207:C217)</f>
        <v>118498</v>
      </c>
      <c r="D206" s="23">
        <f t="shared" ref="D206:G206" si="7">SUM(D207:D217)</f>
        <v>2350</v>
      </c>
      <c r="E206" s="23">
        <f t="shared" si="7"/>
        <v>0</v>
      </c>
      <c r="F206" s="23">
        <f t="shared" si="7"/>
        <v>0</v>
      </c>
      <c r="G206" s="24">
        <f t="shared" si="7"/>
        <v>120848</v>
      </c>
      <c r="H206" s="1"/>
    </row>
    <row r="207" spans="1:8" ht="15.75">
      <c r="A207" s="29"/>
      <c r="B207" s="55" t="s">
        <v>39</v>
      </c>
      <c r="C207" s="21">
        <f>G207-D207</f>
        <v>16113</v>
      </c>
      <c r="D207" s="21">
        <v>750</v>
      </c>
      <c r="E207" s="21"/>
      <c r="F207" s="21"/>
      <c r="G207" s="24">
        <f>'4.pielikums'!B197</f>
        <v>16863</v>
      </c>
      <c r="H207" s="1"/>
    </row>
    <row r="208" spans="1:8" s="1" customFormat="1" ht="31.5">
      <c r="A208" s="29"/>
      <c r="B208" s="56" t="s">
        <v>208</v>
      </c>
      <c r="C208" s="21">
        <f>G208-D208</f>
        <v>22101</v>
      </c>
      <c r="D208" s="21">
        <v>600</v>
      </c>
      <c r="E208" s="21"/>
      <c r="F208" s="21"/>
      <c r="G208" s="24">
        <f>'4.pielikums'!B198</f>
        <v>22701</v>
      </c>
    </row>
    <row r="209" spans="1:8" ht="15.75">
      <c r="A209" s="29"/>
      <c r="B209" s="55" t="s">
        <v>101</v>
      </c>
      <c r="C209" s="21">
        <f>G209</f>
        <v>14489</v>
      </c>
      <c r="D209" s="21"/>
      <c r="E209" s="21"/>
      <c r="F209" s="21"/>
      <c r="G209" s="24">
        <f>'4.pielikums'!B199</f>
        <v>14489</v>
      </c>
      <c r="H209" s="1"/>
    </row>
    <row r="210" spans="1:8" s="1" customFormat="1" ht="15.75">
      <c r="A210" s="29"/>
      <c r="B210" s="55" t="s">
        <v>144</v>
      </c>
      <c r="C210" s="21">
        <v>2809</v>
      </c>
      <c r="D210" s="21"/>
      <c r="E210" s="21"/>
      <c r="F210" s="21"/>
      <c r="G210" s="24">
        <f>'4.pielikums'!B200</f>
        <v>2809</v>
      </c>
    </row>
    <row r="211" spans="1:8" ht="15.75">
      <c r="A211" s="29"/>
      <c r="B211" s="55" t="s">
        <v>41</v>
      </c>
      <c r="C211" s="21">
        <f>G211</f>
        <v>5447</v>
      </c>
      <c r="D211" s="21"/>
      <c r="E211" s="21"/>
      <c r="F211" s="21"/>
      <c r="G211" s="24">
        <f>'4.pielikums'!B202</f>
        <v>5447</v>
      </c>
      <c r="H211" s="1"/>
    </row>
    <row r="212" spans="1:8" ht="15.75">
      <c r="A212" s="29"/>
      <c r="B212" s="55" t="s">
        <v>42</v>
      </c>
      <c r="C212" s="21">
        <f>G212</f>
        <v>2110</v>
      </c>
      <c r="D212" s="21"/>
      <c r="E212" s="21"/>
      <c r="F212" s="21"/>
      <c r="G212" s="24">
        <f>'4.pielikums'!B203</f>
        <v>2110</v>
      </c>
      <c r="H212" s="1"/>
    </row>
    <row r="213" spans="1:8" s="1" customFormat="1" ht="15.75">
      <c r="A213" s="29"/>
      <c r="B213" s="55" t="s">
        <v>367</v>
      </c>
      <c r="C213" s="21">
        <v>1276</v>
      </c>
      <c r="D213" s="21"/>
      <c r="E213" s="21"/>
      <c r="F213" s="21"/>
      <c r="G213" s="24">
        <f>'4.pielikums'!B204</f>
        <v>1276</v>
      </c>
    </row>
    <row r="214" spans="1:8" s="1" customFormat="1" ht="37.5" customHeight="1">
      <c r="A214" s="29"/>
      <c r="B214" s="99" t="s">
        <v>297</v>
      </c>
      <c r="C214" s="21">
        <v>6119</v>
      </c>
      <c r="D214" s="21"/>
      <c r="E214" s="21"/>
      <c r="F214" s="21"/>
      <c r="G214" s="24">
        <f>'4.pielikums'!B205</f>
        <v>6119</v>
      </c>
    </row>
    <row r="215" spans="1:8" s="1" customFormat="1" ht="15.75">
      <c r="A215" s="29"/>
      <c r="B215" s="99" t="s">
        <v>296</v>
      </c>
      <c r="C215" s="21">
        <v>5003</v>
      </c>
      <c r="D215" s="21"/>
      <c r="E215" s="21"/>
      <c r="F215" s="21"/>
      <c r="G215" s="24">
        <f>'4.pielikums'!B206</f>
        <v>5003</v>
      </c>
    </row>
    <row r="216" spans="1:8" s="1" customFormat="1" ht="39" customHeight="1">
      <c r="A216" s="29"/>
      <c r="B216" s="99" t="s">
        <v>295</v>
      </c>
      <c r="C216" s="21">
        <v>13032</v>
      </c>
      <c r="D216" s="21"/>
      <c r="E216" s="21"/>
      <c r="F216" s="21"/>
      <c r="G216" s="24">
        <f>'4.pielikums'!B207</f>
        <v>13032</v>
      </c>
    </row>
    <row r="217" spans="1:8" s="1" customFormat="1" ht="15.75">
      <c r="A217" s="29"/>
      <c r="B217" s="56" t="s">
        <v>164</v>
      </c>
      <c r="C217" s="30">
        <f>G217-D217</f>
        <v>29999</v>
      </c>
      <c r="D217" s="21">
        <v>1000</v>
      </c>
      <c r="E217" s="21"/>
      <c r="F217" s="21"/>
      <c r="G217" s="24">
        <f>'4.pielikums'!B201</f>
        <v>30999</v>
      </c>
    </row>
    <row r="218" spans="1:8" ht="15.75">
      <c r="A218" s="31"/>
      <c r="B218" s="58" t="s">
        <v>102</v>
      </c>
      <c r="C218" s="20"/>
      <c r="D218" s="20"/>
      <c r="E218" s="20"/>
      <c r="F218" s="20"/>
      <c r="G218" s="31"/>
      <c r="H218" s="1"/>
    </row>
    <row r="219" spans="1:8" ht="15.75">
      <c r="A219" s="31"/>
      <c r="B219" s="58" t="s">
        <v>103</v>
      </c>
      <c r="C219" s="23">
        <f>SUM(C220:C232)</f>
        <v>480667</v>
      </c>
      <c r="D219" s="23">
        <f t="shared" ref="D219:G219" si="8">SUM(D220:D232)</f>
        <v>3479</v>
      </c>
      <c r="E219" s="23">
        <f t="shared" si="8"/>
        <v>2160</v>
      </c>
      <c r="F219" s="23">
        <f t="shared" si="8"/>
        <v>0</v>
      </c>
      <c r="G219" s="24">
        <f t="shared" si="8"/>
        <v>486306</v>
      </c>
      <c r="H219" s="1"/>
    </row>
    <row r="220" spans="1:8" ht="15.75">
      <c r="A220" s="29"/>
      <c r="B220" s="55" t="s">
        <v>43</v>
      </c>
      <c r="C220" s="30">
        <f>G220-E220-D220</f>
        <v>270102</v>
      </c>
      <c r="D220" s="21">
        <v>3314</v>
      </c>
      <c r="E220" s="21">
        <v>2160</v>
      </c>
      <c r="F220" s="21"/>
      <c r="G220" s="24">
        <f>'4.pielikums'!B208</f>
        <v>275576</v>
      </c>
      <c r="H220" s="1"/>
    </row>
    <row r="221" spans="1:8" s="1" customFormat="1" ht="15.75">
      <c r="A221" s="29"/>
      <c r="B221" s="118" t="s">
        <v>368</v>
      </c>
      <c r="C221" s="30">
        <v>21169</v>
      </c>
      <c r="D221" s="21"/>
      <c r="E221" s="21"/>
      <c r="F221" s="21"/>
      <c r="G221" s="24">
        <f>'4.pielikums'!B209</f>
        <v>21169</v>
      </c>
    </row>
    <row r="222" spans="1:8" s="1" customFormat="1" ht="15.75">
      <c r="A222" s="29"/>
      <c r="B222" s="100" t="s">
        <v>285</v>
      </c>
      <c r="C222" s="30">
        <v>23816</v>
      </c>
      <c r="D222" s="21"/>
      <c r="E222" s="21"/>
      <c r="F222" s="21"/>
      <c r="G222" s="24">
        <f>'4.pielikums'!B210</f>
        <v>23816</v>
      </c>
    </row>
    <row r="223" spans="1:8" s="117" customFormat="1" ht="15.75">
      <c r="A223" s="31"/>
      <c r="B223" s="100" t="s">
        <v>286</v>
      </c>
      <c r="C223" s="30">
        <v>20023</v>
      </c>
      <c r="D223" s="20"/>
      <c r="E223" s="20"/>
      <c r="F223" s="20"/>
      <c r="G223" s="24">
        <f>'4.pielikums'!B211</f>
        <v>20023</v>
      </c>
      <c r="H223" s="1"/>
    </row>
    <row r="224" spans="1:8" s="117" customFormat="1" ht="15.75">
      <c r="A224" s="31"/>
      <c r="B224" s="100" t="s">
        <v>287</v>
      </c>
      <c r="C224" s="30">
        <v>13817</v>
      </c>
      <c r="D224" s="20"/>
      <c r="E224" s="20"/>
      <c r="F224" s="20"/>
      <c r="G224" s="24">
        <f>'4.pielikums'!B212</f>
        <v>13817</v>
      </c>
      <c r="H224" s="1"/>
    </row>
    <row r="225" spans="1:8" s="1" customFormat="1" ht="15.75">
      <c r="A225" s="29"/>
      <c r="B225" s="100" t="s">
        <v>288</v>
      </c>
      <c r="C225" s="30">
        <v>12469</v>
      </c>
      <c r="D225" s="21"/>
      <c r="E225" s="21"/>
      <c r="F225" s="21"/>
      <c r="G225" s="24">
        <f>'4.pielikums'!B213</f>
        <v>12469</v>
      </c>
    </row>
    <row r="226" spans="1:8" s="1" customFormat="1" ht="15.75">
      <c r="A226" s="29"/>
      <c r="B226" s="99" t="s">
        <v>304</v>
      </c>
      <c r="C226" s="30">
        <v>52774</v>
      </c>
      <c r="D226" s="21">
        <v>100</v>
      </c>
      <c r="E226" s="21"/>
      <c r="F226" s="21"/>
      <c r="G226" s="24">
        <f>'4.pielikums'!B214</f>
        <v>52874</v>
      </c>
    </row>
    <row r="227" spans="1:8" s="1" customFormat="1" ht="15.75">
      <c r="A227" s="29"/>
      <c r="B227" s="99" t="s">
        <v>303</v>
      </c>
      <c r="C227" s="30">
        <v>11244</v>
      </c>
      <c r="D227" s="21"/>
      <c r="E227" s="21"/>
      <c r="F227" s="21"/>
      <c r="G227" s="24">
        <f>'4.pielikums'!B215</f>
        <v>11244</v>
      </c>
    </row>
    <row r="228" spans="1:8" s="1" customFormat="1" ht="15.75">
      <c r="A228" s="29"/>
      <c r="B228" s="99" t="s">
        <v>302</v>
      </c>
      <c r="C228" s="30">
        <v>11623</v>
      </c>
      <c r="D228" s="21"/>
      <c r="E228" s="21"/>
      <c r="F228" s="21"/>
      <c r="G228" s="24">
        <f>'4.pielikums'!B216</f>
        <v>11623</v>
      </c>
    </row>
    <row r="229" spans="1:8" s="1" customFormat="1" ht="15.75">
      <c r="A229" s="29"/>
      <c r="B229" s="99" t="s">
        <v>301</v>
      </c>
      <c r="C229" s="30">
        <v>12633</v>
      </c>
      <c r="D229" s="21"/>
      <c r="E229" s="21"/>
      <c r="F229" s="21"/>
      <c r="G229" s="24">
        <f>'4.pielikums'!B217</f>
        <v>12633</v>
      </c>
    </row>
    <row r="230" spans="1:8" s="1" customFormat="1" ht="31.5">
      <c r="A230" s="29"/>
      <c r="B230" s="99" t="s">
        <v>300</v>
      </c>
      <c r="C230" s="30">
        <v>9522</v>
      </c>
      <c r="D230" s="21"/>
      <c r="E230" s="21"/>
      <c r="F230" s="21"/>
      <c r="G230" s="24">
        <f>'4.pielikums'!B218</f>
        <v>9522</v>
      </c>
    </row>
    <row r="231" spans="1:8" s="1" customFormat="1" ht="15.75">
      <c r="A231" s="29"/>
      <c r="B231" s="99" t="s">
        <v>299</v>
      </c>
      <c r="C231" s="30">
        <v>9484</v>
      </c>
      <c r="D231" s="21"/>
      <c r="E231" s="21"/>
      <c r="F231" s="21"/>
      <c r="G231" s="24">
        <f>'4.pielikums'!B219</f>
        <v>9484</v>
      </c>
    </row>
    <row r="232" spans="1:8" s="1" customFormat="1" ht="15.75">
      <c r="A232" s="29"/>
      <c r="B232" s="99" t="s">
        <v>298</v>
      </c>
      <c r="C232" s="30">
        <v>11991</v>
      </c>
      <c r="D232" s="21">
        <v>65</v>
      </c>
      <c r="E232" s="21"/>
      <c r="F232" s="21"/>
      <c r="G232" s="24">
        <f>'4.pielikums'!B220</f>
        <v>12056</v>
      </c>
    </row>
    <row r="233" spans="1:8" ht="15.75">
      <c r="A233" s="31"/>
      <c r="B233" s="58" t="s">
        <v>104</v>
      </c>
      <c r="C233" s="23">
        <f>SUM(C234:C239)</f>
        <v>241901</v>
      </c>
      <c r="D233" s="23">
        <f t="shared" ref="D233:G233" si="9">SUM(D234:D239)</f>
        <v>15733</v>
      </c>
      <c r="E233" s="23">
        <f t="shared" si="9"/>
        <v>0</v>
      </c>
      <c r="F233" s="23">
        <f t="shared" si="9"/>
        <v>70457</v>
      </c>
      <c r="G233" s="24">
        <f t="shared" si="9"/>
        <v>328091</v>
      </c>
      <c r="H233" s="1"/>
    </row>
    <row r="234" spans="1:8" ht="15.75">
      <c r="A234" s="29"/>
      <c r="B234" s="55" t="s">
        <v>199</v>
      </c>
      <c r="C234" s="21">
        <f>G234-D234</f>
        <v>122203</v>
      </c>
      <c r="D234" s="21">
        <v>8100</v>
      </c>
      <c r="E234" s="21"/>
      <c r="F234" s="21"/>
      <c r="G234" s="24">
        <f>'4.pielikums'!B222</f>
        <v>130303</v>
      </c>
      <c r="H234" s="1"/>
    </row>
    <row r="235" spans="1:8" s="1" customFormat="1" ht="15.75">
      <c r="A235" s="29"/>
      <c r="B235" s="100" t="s">
        <v>308</v>
      </c>
      <c r="C235" s="21">
        <v>9700</v>
      </c>
      <c r="D235" s="21"/>
      <c r="E235" s="21"/>
      <c r="F235" s="21"/>
      <c r="G235" s="24">
        <f>'4.pielikums'!B221</f>
        <v>9700</v>
      </c>
    </row>
    <row r="236" spans="1:8" s="1" customFormat="1" ht="15.75">
      <c r="A236" s="29"/>
      <c r="B236" s="55" t="s">
        <v>369</v>
      </c>
      <c r="C236" s="21">
        <f>99934-F236</f>
        <v>29477</v>
      </c>
      <c r="D236" s="21"/>
      <c r="E236" s="21"/>
      <c r="F236" s="21">
        <v>70457</v>
      </c>
      <c r="G236" s="24">
        <f>'4.pielikums'!B223</f>
        <v>99934</v>
      </c>
    </row>
    <row r="237" spans="1:8" s="1" customFormat="1" ht="15.75">
      <c r="A237" s="29"/>
      <c r="B237" s="99" t="s">
        <v>307</v>
      </c>
      <c r="C237" s="21">
        <v>58831</v>
      </c>
      <c r="D237" s="21">
        <v>6303</v>
      </c>
      <c r="E237" s="21"/>
      <c r="F237" s="21"/>
      <c r="G237" s="24">
        <f>'4.pielikums'!B224</f>
        <v>65134</v>
      </c>
    </row>
    <row r="238" spans="1:8" s="1" customFormat="1" ht="31.5">
      <c r="A238" s="29"/>
      <c r="B238" s="99" t="s">
        <v>306</v>
      </c>
      <c r="C238" s="21">
        <v>13683</v>
      </c>
      <c r="D238" s="21">
        <v>1330</v>
      </c>
      <c r="E238" s="21"/>
      <c r="F238" s="21"/>
      <c r="G238" s="24">
        <f>'4.pielikums'!B225</f>
        <v>15013</v>
      </c>
    </row>
    <row r="239" spans="1:8" s="1" customFormat="1" ht="31.5">
      <c r="A239" s="29"/>
      <c r="B239" s="99" t="s">
        <v>305</v>
      </c>
      <c r="C239" s="21">
        <v>8007</v>
      </c>
      <c r="D239" s="21"/>
      <c r="E239" s="21"/>
      <c r="F239" s="21"/>
      <c r="G239" s="24">
        <f>'4.pielikums'!B226</f>
        <v>8007</v>
      </c>
    </row>
    <row r="240" spans="1:8" ht="15.75">
      <c r="A240" s="31"/>
      <c r="B240" s="58" t="s">
        <v>105</v>
      </c>
      <c r="C240" s="23">
        <f>SUM(C241:C265)</f>
        <v>892864</v>
      </c>
      <c r="D240" s="23">
        <f>SUM(D241:D265)</f>
        <v>7405</v>
      </c>
      <c r="E240" s="23">
        <f>SUM(E241:E265)</f>
        <v>29078</v>
      </c>
      <c r="F240" s="23">
        <f>SUM(F241:F265)</f>
        <v>431471</v>
      </c>
      <c r="G240" s="24">
        <f>SUM(G241:G265)</f>
        <v>1360818</v>
      </c>
      <c r="H240" s="1"/>
    </row>
    <row r="241" spans="1:8" ht="15.75">
      <c r="A241" s="29"/>
      <c r="B241" s="55" t="s">
        <v>194</v>
      </c>
      <c r="C241" s="30">
        <f>G241-D241-E241</f>
        <v>221193</v>
      </c>
      <c r="D241" s="21">
        <v>1000</v>
      </c>
      <c r="E241" s="21">
        <v>6015</v>
      </c>
      <c r="F241" s="21"/>
      <c r="G241" s="24">
        <f>'4.pielikums'!B227</f>
        <v>228208</v>
      </c>
      <c r="H241" s="1"/>
    </row>
    <row r="242" spans="1:8" ht="15.75">
      <c r="A242" s="29"/>
      <c r="B242" s="55" t="s">
        <v>45</v>
      </c>
      <c r="C242" s="30">
        <f t="shared" ref="C242:C265" si="10">G242-D242-E242</f>
        <v>23045</v>
      </c>
      <c r="D242" s="21">
        <v>210</v>
      </c>
      <c r="E242" s="21"/>
      <c r="F242" s="21"/>
      <c r="G242" s="24">
        <f>'4.pielikums'!B229</f>
        <v>23255</v>
      </c>
      <c r="H242" s="1"/>
    </row>
    <row r="243" spans="1:8" ht="15.75">
      <c r="A243" s="29"/>
      <c r="B243" s="56" t="s">
        <v>106</v>
      </c>
      <c r="C243" s="30">
        <f t="shared" si="10"/>
        <v>32090</v>
      </c>
      <c r="D243" s="21">
        <v>100</v>
      </c>
      <c r="E243" s="21">
        <v>1604</v>
      </c>
      <c r="F243" s="21"/>
      <c r="G243" s="24">
        <f>'4.pielikums'!B233</f>
        <v>33794</v>
      </c>
      <c r="H243" s="1"/>
    </row>
    <row r="244" spans="1:8" ht="15.75">
      <c r="A244" s="29"/>
      <c r="B244" s="55" t="s">
        <v>48</v>
      </c>
      <c r="C244" s="30">
        <f t="shared" si="10"/>
        <v>37532</v>
      </c>
      <c r="D244" s="21">
        <v>550</v>
      </c>
      <c r="E244" s="21">
        <v>1203</v>
      </c>
      <c r="F244" s="21"/>
      <c r="G244" s="24">
        <f>'4.pielikums'!B232</f>
        <v>39285</v>
      </c>
      <c r="H244" s="1"/>
    </row>
    <row r="245" spans="1:8" ht="15.75">
      <c r="A245" s="29"/>
      <c r="B245" s="55" t="s">
        <v>107</v>
      </c>
      <c r="C245" s="30">
        <f t="shared" si="10"/>
        <v>19262</v>
      </c>
      <c r="D245" s="21">
        <v>100</v>
      </c>
      <c r="E245" s="21">
        <v>401</v>
      </c>
      <c r="F245" s="21"/>
      <c r="G245" s="24">
        <f>'4.pielikums'!B234</f>
        <v>19763</v>
      </c>
      <c r="H245" s="1"/>
    </row>
    <row r="246" spans="1:8" ht="15.75">
      <c r="A246" s="29"/>
      <c r="B246" s="55" t="s">
        <v>108</v>
      </c>
      <c r="C246" s="30">
        <f t="shared" si="10"/>
        <v>59793</v>
      </c>
      <c r="D246" s="21">
        <v>817</v>
      </c>
      <c r="E246" s="21">
        <v>1604</v>
      </c>
      <c r="F246" s="21"/>
      <c r="G246" s="24">
        <f>'4.pielikums'!B235</f>
        <v>62214</v>
      </c>
      <c r="H246" s="1"/>
    </row>
    <row r="247" spans="1:8" ht="15.75">
      <c r="A247" s="29"/>
      <c r="B247" s="55" t="s">
        <v>109</v>
      </c>
      <c r="C247" s="30">
        <f t="shared" si="10"/>
        <v>38728</v>
      </c>
      <c r="D247" s="21">
        <v>800</v>
      </c>
      <c r="E247" s="21">
        <v>1203</v>
      </c>
      <c r="F247" s="21"/>
      <c r="G247" s="24">
        <f>'4.pielikums'!B236</f>
        <v>40731</v>
      </c>
      <c r="H247" s="1"/>
    </row>
    <row r="248" spans="1:8" ht="31.5">
      <c r="A248" s="29"/>
      <c r="B248" s="59" t="s">
        <v>110</v>
      </c>
      <c r="C248" s="30">
        <f t="shared" si="10"/>
        <v>29330</v>
      </c>
      <c r="D248" s="21">
        <v>170</v>
      </c>
      <c r="E248" s="21">
        <v>1203</v>
      </c>
      <c r="F248" s="21"/>
      <c r="G248" s="24">
        <f>'4.pielikums'!B237</f>
        <v>30703</v>
      </c>
      <c r="H248" s="1"/>
    </row>
    <row r="249" spans="1:8" ht="15.75">
      <c r="A249" s="29"/>
      <c r="B249" s="55" t="s">
        <v>111</v>
      </c>
      <c r="C249" s="30">
        <f t="shared" si="10"/>
        <v>18609</v>
      </c>
      <c r="D249" s="21">
        <v>200</v>
      </c>
      <c r="E249" s="21">
        <v>802</v>
      </c>
      <c r="F249" s="21"/>
      <c r="G249" s="24">
        <f>'4.pielikums'!B238</f>
        <v>19611</v>
      </c>
      <c r="H249" s="1"/>
    </row>
    <row r="250" spans="1:8" ht="15.75">
      <c r="A250" s="29"/>
      <c r="B250" s="55" t="s">
        <v>112</v>
      </c>
      <c r="C250" s="30">
        <f t="shared" si="10"/>
        <v>13633</v>
      </c>
      <c r="D250" s="21">
        <v>10</v>
      </c>
      <c r="E250" s="21"/>
      <c r="F250" s="21"/>
      <c r="G250" s="24">
        <f>'4.pielikums'!B230</f>
        <v>13643</v>
      </c>
      <c r="H250" s="1"/>
    </row>
    <row r="251" spans="1:8" ht="15.75">
      <c r="A251" s="29"/>
      <c r="B251" s="55" t="s">
        <v>113</v>
      </c>
      <c r="C251" s="30">
        <f t="shared" si="10"/>
        <v>10725</v>
      </c>
      <c r="D251" s="21"/>
      <c r="E251" s="21"/>
      <c r="F251" s="21"/>
      <c r="G251" s="24">
        <f>'4.pielikums'!B231</f>
        <v>10725</v>
      </c>
      <c r="H251" s="1"/>
    </row>
    <row r="252" spans="1:8" s="1" customFormat="1" ht="31.5">
      <c r="A252" s="29"/>
      <c r="B252" s="56" t="s">
        <v>371</v>
      </c>
      <c r="C252" s="30">
        <f t="shared" si="10"/>
        <v>0</v>
      </c>
      <c r="D252" s="21"/>
      <c r="E252" s="21">
        <v>8938</v>
      </c>
      <c r="F252" s="21"/>
      <c r="G252" s="24">
        <f>'4.pielikums'!B239</f>
        <v>8938</v>
      </c>
    </row>
    <row r="253" spans="1:8" s="1" customFormat="1" ht="31.5">
      <c r="A253" s="29"/>
      <c r="B253" s="56" t="s">
        <v>289</v>
      </c>
      <c r="C253" s="30">
        <f t="shared" si="10"/>
        <v>62124</v>
      </c>
      <c r="D253" s="21">
        <v>554</v>
      </c>
      <c r="E253" s="21">
        <v>3208</v>
      </c>
      <c r="F253" s="21"/>
      <c r="G253" s="24">
        <f>'4.pielikums'!B240</f>
        <v>65886</v>
      </c>
    </row>
    <row r="254" spans="1:8" s="1" customFormat="1" ht="15.75">
      <c r="A254" s="29"/>
      <c r="B254" s="56" t="s">
        <v>290</v>
      </c>
      <c r="C254" s="30">
        <f t="shared" si="10"/>
        <v>32377</v>
      </c>
      <c r="D254" s="21">
        <v>520</v>
      </c>
      <c r="E254" s="21">
        <v>401</v>
      </c>
      <c r="F254" s="21"/>
      <c r="G254" s="24">
        <f>'4.pielikums'!B241</f>
        <v>33298</v>
      </c>
    </row>
    <row r="255" spans="1:8" s="1" customFormat="1" ht="31.5">
      <c r="A255" s="29"/>
      <c r="B255" s="99" t="s">
        <v>387</v>
      </c>
      <c r="C255" s="30">
        <f t="shared" si="10"/>
        <v>28847</v>
      </c>
      <c r="D255" s="21">
        <v>50</v>
      </c>
      <c r="E255" s="21"/>
      <c r="F255" s="21"/>
      <c r="G255" s="24">
        <f>'4.pielikums'!B247</f>
        <v>28897</v>
      </c>
    </row>
    <row r="256" spans="1:8" s="1" customFormat="1" ht="15.75">
      <c r="A256" s="29"/>
      <c r="B256" s="99" t="s">
        <v>386</v>
      </c>
      <c r="C256" s="30">
        <f t="shared" si="10"/>
        <v>10856</v>
      </c>
      <c r="D256" s="21"/>
      <c r="E256" s="21"/>
      <c r="F256" s="21"/>
      <c r="G256" s="24">
        <f>'4.pielikums'!B248</f>
        <v>10856</v>
      </c>
    </row>
    <row r="257" spans="1:7" s="1" customFormat="1" ht="15.75">
      <c r="A257" s="29"/>
      <c r="B257" s="99" t="s">
        <v>385</v>
      </c>
      <c r="C257" s="30">
        <f t="shared" si="10"/>
        <v>28562</v>
      </c>
      <c r="D257" s="21">
        <v>500</v>
      </c>
      <c r="E257" s="21"/>
      <c r="F257" s="21"/>
      <c r="G257" s="24">
        <f>'4.pielikums'!B249</f>
        <v>29062</v>
      </c>
    </row>
    <row r="258" spans="1:7" s="1" customFormat="1" ht="31.5">
      <c r="A258" s="29"/>
      <c r="B258" s="99" t="s">
        <v>384</v>
      </c>
      <c r="C258" s="30">
        <f>G258-D258-E258-F258</f>
        <v>34309</v>
      </c>
      <c r="D258" s="21">
        <v>1000</v>
      </c>
      <c r="E258" s="21"/>
      <c r="F258" s="21">
        <v>431471</v>
      </c>
      <c r="G258" s="24">
        <f>'4.pielikums'!B250</f>
        <v>466780</v>
      </c>
    </row>
    <row r="259" spans="1:7" s="1" customFormat="1" ht="15.75">
      <c r="A259" s="29"/>
      <c r="B259" s="99" t="s">
        <v>383</v>
      </c>
      <c r="C259" s="30">
        <f t="shared" si="10"/>
        <v>79411</v>
      </c>
      <c r="D259" s="21">
        <v>400</v>
      </c>
      <c r="E259" s="21"/>
      <c r="F259" s="21"/>
      <c r="G259" s="24">
        <f>'4.pielikums'!B251</f>
        <v>79811</v>
      </c>
    </row>
    <row r="260" spans="1:7" s="1" customFormat="1" ht="15.75">
      <c r="A260" s="29"/>
      <c r="B260" s="99" t="s">
        <v>382</v>
      </c>
      <c r="C260" s="30">
        <f t="shared" si="10"/>
        <v>35598</v>
      </c>
      <c r="D260" s="21">
        <v>290</v>
      </c>
      <c r="E260" s="21"/>
      <c r="F260" s="21"/>
      <c r="G260" s="24">
        <f>'4.pielikums'!B252</f>
        <v>35888</v>
      </c>
    </row>
    <row r="261" spans="1:7" s="1" customFormat="1" ht="15.75">
      <c r="A261" s="29"/>
      <c r="B261" s="99" t="s">
        <v>381</v>
      </c>
      <c r="C261" s="30">
        <f t="shared" si="10"/>
        <v>5326</v>
      </c>
      <c r="D261" s="21">
        <v>134</v>
      </c>
      <c r="E261" s="21"/>
      <c r="F261" s="21"/>
      <c r="G261" s="24">
        <f>'4.pielikums'!B253</f>
        <v>5460</v>
      </c>
    </row>
    <row r="262" spans="1:7" s="1" customFormat="1" ht="15.75">
      <c r="A262" s="29"/>
      <c r="B262" s="99" t="s">
        <v>380</v>
      </c>
      <c r="C262" s="30">
        <f t="shared" si="10"/>
        <v>1355</v>
      </c>
      <c r="D262" s="21"/>
      <c r="E262" s="21"/>
      <c r="F262" s="21"/>
      <c r="G262" s="24">
        <f>'4.pielikums'!B254</f>
        <v>1355</v>
      </c>
    </row>
    <row r="263" spans="1:7" s="1" customFormat="1" ht="15.75">
      <c r="A263" s="29"/>
      <c r="B263" s="56" t="s">
        <v>372</v>
      </c>
      <c r="C263" s="30">
        <f t="shared" si="10"/>
        <v>64532</v>
      </c>
      <c r="D263" s="21"/>
      <c r="E263" s="21"/>
      <c r="F263" s="21"/>
      <c r="G263" s="24">
        <f>'4.pielikums'!B242</f>
        <v>64532</v>
      </c>
    </row>
    <row r="264" spans="1:7" s="1" customFormat="1" ht="15.75">
      <c r="A264" s="29"/>
      <c r="B264" s="56" t="s">
        <v>487</v>
      </c>
      <c r="C264" s="30">
        <f t="shared" si="10"/>
        <v>5627</v>
      </c>
      <c r="D264" s="21"/>
      <c r="E264" s="21"/>
      <c r="F264" s="21"/>
      <c r="G264" s="24">
        <f>'4.pielikums'!B243</f>
        <v>5627</v>
      </c>
    </row>
    <row r="265" spans="1:7" s="1" customFormat="1" ht="31.5">
      <c r="A265" s="29"/>
      <c r="B265" s="22" t="s">
        <v>390</v>
      </c>
      <c r="C265" s="30">
        <f t="shared" si="10"/>
        <v>0</v>
      </c>
      <c r="D265" s="21"/>
      <c r="E265" s="21">
        <v>2496</v>
      </c>
      <c r="F265" s="21"/>
      <c r="G265" s="24">
        <f>'4.pielikums'!B246</f>
        <v>2496</v>
      </c>
    </row>
    <row r="266" spans="1:7" s="1" customFormat="1" ht="34.5" customHeight="1">
      <c r="A266" s="29"/>
      <c r="B266" s="57" t="s">
        <v>114</v>
      </c>
      <c r="C266" s="23">
        <f>SUM(C267:C280)</f>
        <v>202520</v>
      </c>
      <c r="D266" s="23">
        <f t="shared" ref="D266:G266" si="11">SUM(D267:D280)</f>
        <v>37930</v>
      </c>
      <c r="E266" s="23">
        <f t="shared" si="11"/>
        <v>3600</v>
      </c>
      <c r="F266" s="23">
        <f t="shared" si="11"/>
        <v>0</v>
      </c>
      <c r="G266" s="24">
        <f t="shared" si="11"/>
        <v>244050</v>
      </c>
    </row>
    <row r="267" spans="1:7" s="1" customFormat="1" ht="15.75">
      <c r="A267" s="29"/>
      <c r="B267" s="55" t="s">
        <v>44</v>
      </c>
      <c r="C267" s="21">
        <f>G267-D267</f>
        <v>51430</v>
      </c>
      <c r="D267" s="21">
        <v>37780</v>
      </c>
      <c r="E267" s="21"/>
      <c r="F267" s="21"/>
      <c r="G267" s="24">
        <f>'4.pielikums'!B228</f>
        <v>89210</v>
      </c>
    </row>
    <row r="268" spans="1:7" s="1" customFormat="1" ht="31.5">
      <c r="A268" s="29"/>
      <c r="B268" s="62" t="s">
        <v>55</v>
      </c>
      <c r="C268" s="23">
        <f>G268</f>
        <v>54118</v>
      </c>
      <c r="D268" s="20"/>
      <c r="E268" s="20"/>
      <c r="F268" s="20"/>
      <c r="G268" s="24">
        <f>'4.pielikums'!B262</f>
        <v>54118</v>
      </c>
    </row>
    <row r="269" spans="1:7" s="1" customFormat="1" ht="31.5">
      <c r="A269" s="29"/>
      <c r="B269" s="59" t="s">
        <v>375</v>
      </c>
      <c r="C269" s="30">
        <v>2000</v>
      </c>
      <c r="D269" s="20"/>
      <c r="E269" s="20"/>
      <c r="F269" s="20"/>
      <c r="G269" s="24">
        <f>'4.pielikums'!B261</f>
        <v>2000</v>
      </c>
    </row>
    <row r="270" spans="1:7" s="1" customFormat="1" ht="31.5">
      <c r="A270" s="29"/>
      <c r="B270" s="111" t="s">
        <v>376</v>
      </c>
      <c r="C270" s="21">
        <v>5686</v>
      </c>
      <c r="D270" s="21"/>
      <c r="E270" s="21"/>
      <c r="F270" s="21"/>
      <c r="G270" s="24">
        <f>'4.pielikums'!B259</f>
        <v>5686</v>
      </c>
    </row>
    <row r="271" spans="1:7" s="1" customFormat="1" ht="31.5">
      <c r="A271" s="29"/>
      <c r="B271" s="99" t="s">
        <v>388</v>
      </c>
      <c r="C271" s="21">
        <v>11500</v>
      </c>
      <c r="D271" s="21"/>
      <c r="E271" s="21"/>
      <c r="F271" s="21"/>
      <c r="G271" s="24">
        <f>'4.pielikums'!B258</f>
        <v>11500</v>
      </c>
    </row>
    <row r="272" spans="1:7" s="1" customFormat="1" ht="31.5">
      <c r="A272" s="29"/>
      <c r="B272" s="63" t="s">
        <v>169</v>
      </c>
      <c r="C272" s="21">
        <v>11930</v>
      </c>
      <c r="D272" s="20"/>
      <c r="E272" s="20"/>
      <c r="F272" s="20"/>
      <c r="G272" s="24">
        <f>'4.pielikums'!B263</f>
        <v>11930</v>
      </c>
    </row>
    <row r="273" spans="1:9" ht="27.75" customHeight="1">
      <c r="A273" s="31"/>
      <c r="B273" s="99" t="s">
        <v>379</v>
      </c>
      <c r="C273" s="21">
        <v>31006</v>
      </c>
      <c r="D273" s="21"/>
      <c r="E273" s="21"/>
      <c r="F273" s="21"/>
      <c r="G273" s="24">
        <f>'4.pielikums'!B255</f>
        <v>31006</v>
      </c>
      <c r="H273" s="1"/>
    </row>
    <row r="274" spans="1:9" ht="31.5">
      <c r="A274" s="29"/>
      <c r="B274" s="99" t="s">
        <v>378</v>
      </c>
      <c r="C274" s="21">
        <v>9506</v>
      </c>
      <c r="D274" s="21">
        <v>150</v>
      </c>
      <c r="E274" s="21"/>
      <c r="F274" s="21"/>
      <c r="G274" s="24">
        <f>'4.pielikums'!B256</f>
        <v>9656</v>
      </c>
      <c r="H274" s="1"/>
    </row>
    <row r="275" spans="1:9" ht="15.75">
      <c r="A275" s="31"/>
      <c r="B275" s="99" t="s">
        <v>377</v>
      </c>
      <c r="C275" s="21">
        <v>1493</v>
      </c>
      <c r="D275" s="21"/>
      <c r="E275" s="21"/>
      <c r="F275" s="21"/>
      <c r="G275" s="24">
        <f>'4.pielikums'!B257</f>
        <v>1493</v>
      </c>
      <c r="H275" s="1"/>
    </row>
    <row r="276" spans="1:9" s="1" customFormat="1" ht="37.5" customHeight="1">
      <c r="A276" s="31"/>
      <c r="B276" s="111" t="s">
        <v>374</v>
      </c>
      <c r="C276" s="21">
        <v>3395</v>
      </c>
      <c r="D276" s="21"/>
      <c r="E276" s="21"/>
      <c r="F276" s="21"/>
      <c r="G276" s="24">
        <f>'4.pielikums'!B244</f>
        <v>3395</v>
      </c>
    </row>
    <row r="277" spans="1:9" s="1" customFormat="1" ht="36.75" customHeight="1">
      <c r="A277" s="31"/>
      <c r="B277" s="111" t="s">
        <v>373</v>
      </c>
      <c r="C277" s="21">
        <v>756</v>
      </c>
      <c r="D277" s="21"/>
      <c r="E277" s="21"/>
      <c r="F277" s="21"/>
      <c r="G277" s="24">
        <f>'4.pielikums'!B245</f>
        <v>756</v>
      </c>
    </row>
    <row r="278" spans="1:9" s="1" customFormat="1" ht="36.75" customHeight="1">
      <c r="A278" s="31"/>
      <c r="B278" s="111" t="s">
        <v>434</v>
      </c>
      <c r="C278" s="21"/>
      <c r="D278" s="21"/>
      <c r="E278" s="21">
        <v>800</v>
      </c>
      <c r="F278" s="21"/>
      <c r="G278" s="24">
        <f>'4.pielikums'!B264</f>
        <v>800</v>
      </c>
    </row>
    <row r="279" spans="1:9" s="1" customFormat="1" ht="36.75" customHeight="1">
      <c r="A279" s="31"/>
      <c r="B279" s="111" t="s">
        <v>433</v>
      </c>
      <c r="C279" s="21"/>
      <c r="D279" s="21"/>
      <c r="E279" s="21">
        <v>2800</v>
      </c>
      <c r="F279" s="21"/>
      <c r="G279" s="24">
        <f>'4.pielikums'!B265</f>
        <v>2800</v>
      </c>
    </row>
    <row r="280" spans="1:9" ht="31.5">
      <c r="A280" s="31"/>
      <c r="B280" s="59" t="s">
        <v>391</v>
      </c>
      <c r="C280" s="30">
        <v>19700</v>
      </c>
      <c r="D280" s="23"/>
      <c r="E280" s="23"/>
      <c r="F280" s="23"/>
      <c r="G280" s="24">
        <f>'4.pielikums'!B260</f>
        <v>19700</v>
      </c>
      <c r="H280" s="1"/>
    </row>
    <row r="281" spans="1:9" ht="15.75">
      <c r="A281" s="31" t="s">
        <v>115</v>
      </c>
      <c r="B281" s="58" t="s">
        <v>116</v>
      </c>
      <c r="C281" s="23">
        <f>C282+C290+C297+C309+C322+C324</f>
        <v>7020982</v>
      </c>
      <c r="D281" s="23">
        <f>D282+D290+D297+D309+D322+D324</f>
        <v>332512</v>
      </c>
      <c r="E281" s="23">
        <f>E282+E290+E297+E309+E322+E324</f>
        <v>4211388</v>
      </c>
      <c r="F281" s="23">
        <f>F282+F290+F297+F309+F322+F324</f>
        <v>0</v>
      </c>
      <c r="G281" s="24">
        <f>G282+G290+G297+G309+G322+G324</f>
        <v>11564882</v>
      </c>
      <c r="H281" s="1"/>
      <c r="I281" s="3"/>
    </row>
    <row r="282" spans="1:9" ht="15.75">
      <c r="A282" s="31"/>
      <c r="B282" s="58" t="s">
        <v>117</v>
      </c>
      <c r="C282" s="23">
        <f>SUM(C283:C288)</f>
        <v>1301772</v>
      </c>
      <c r="D282" s="23">
        <f t="shared" ref="D282:G282" si="12">SUM(D283:D288)</f>
        <v>113936</v>
      </c>
      <c r="E282" s="23">
        <f t="shared" si="12"/>
        <v>287358</v>
      </c>
      <c r="F282" s="23">
        <f t="shared" si="12"/>
        <v>0</v>
      </c>
      <c r="G282" s="24">
        <f t="shared" si="12"/>
        <v>1703066</v>
      </c>
      <c r="H282" s="3"/>
    </row>
    <row r="283" spans="1:9" ht="15.75">
      <c r="A283" s="29"/>
      <c r="B283" s="55" t="s">
        <v>56</v>
      </c>
      <c r="C283" s="30">
        <f>G283-E283-D283</f>
        <v>457074</v>
      </c>
      <c r="D283" s="21">
        <v>51800</v>
      </c>
      <c r="E283" s="21">
        <f>86407+1876+12364</f>
        <v>100647</v>
      </c>
      <c r="F283" s="21"/>
      <c r="G283" s="24">
        <f>'4.pielikums'!B267</f>
        <v>609521</v>
      </c>
      <c r="H283" s="1"/>
    </row>
    <row r="284" spans="1:9" ht="15.75">
      <c r="A284" s="29"/>
      <c r="B284" s="55" t="s">
        <v>57</v>
      </c>
      <c r="C284" s="21">
        <f>G284-E284-D284</f>
        <v>290447</v>
      </c>
      <c r="D284" s="21">
        <v>32200</v>
      </c>
      <c r="E284" s="21">
        <f>43472+1474+6857</f>
        <v>51803</v>
      </c>
      <c r="F284" s="21"/>
      <c r="G284" s="24">
        <f>'4.pielikums'!B268</f>
        <v>374450</v>
      </c>
      <c r="H284" s="1"/>
    </row>
    <row r="285" spans="1:9" ht="15.75">
      <c r="A285" s="29"/>
      <c r="B285" s="55" t="s">
        <v>58</v>
      </c>
      <c r="C285" s="21">
        <f>G285-D285-E285</f>
        <v>69193</v>
      </c>
      <c r="D285" s="21">
        <v>4325</v>
      </c>
      <c r="E285" s="21">
        <f>4832+134+1485</f>
        <v>6451</v>
      </c>
      <c r="F285" s="21"/>
      <c r="G285" s="24">
        <f>'4.pielikums'!B269</f>
        <v>79969</v>
      </c>
      <c r="H285" s="1"/>
    </row>
    <row r="286" spans="1:9" ht="15.75">
      <c r="A286" s="29"/>
      <c r="B286" s="55" t="s">
        <v>59</v>
      </c>
      <c r="C286" s="21">
        <f>G286-D286-E286</f>
        <v>209655</v>
      </c>
      <c r="D286" s="21">
        <v>14251</v>
      </c>
      <c r="E286" s="21">
        <f>26600+731+4589</f>
        <v>31920</v>
      </c>
      <c r="F286" s="21"/>
      <c r="G286" s="24">
        <f>'4.pielikums'!B270</f>
        <v>255826</v>
      </c>
      <c r="H286" s="1"/>
    </row>
    <row r="287" spans="1:9" s="1" customFormat="1" ht="31.5">
      <c r="A287" s="29"/>
      <c r="B287" s="99" t="s">
        <v>413</v>
      </c>
      <c r="C287" s="21">
        <f t="shared" ref="C287:C288" si="13">G287-D287-E287</f>
        <v>126774</v>
      </c>
      <c r="D287" s="21">
        <v>4950</v>
      </c>
      <c r="E287" s="21">
        <v>60330</v>
      </c>
      <c r="F287" s="21"/>
      <c r="G287" s="24">
        <f>'4.pielikums'!B292</f>
        <v>192054</v>
      </c>
    </row>
    <row r="288" spans="1:9" s="1" customFormat="1" ht="31.5">
      <c r="A288" s="29"/>
      <c r="B288" s="99" t="s">
        <v>412</v>
      </c>
      <c r="C288" s="21">
        <f t="shared" si="13"/>
        <v>148629</v>
      </c>
      <c r="D288" s="21">
        <v>6410</v>
      </c>
      <c r="E288" s="21">
        <v>36207</v>
      </c>
      <c r="F288" s="21"/>
      <c r="G288" s="24">
        <f>'4.pielikums'!B293</f>
        <v>191246</v>
      </c>
    </row>
    <row r="289" spans="1:8" ht="31.5">
      <c r="A289" s="31"/>
      <c r="B289" s="62" t="s">
        <v>118</v>
      </c>
      <c r="C289" s="21"/>
      <c r="D289" s="21"/>
      <c r="E289" s="21"/>
      <c r="F289" s="21"/>
      <c r="G289" s="31"/>
      <c r="H289" s="1"/>
    </row>
    <row r="290" spans="1:8" ht="15.75">
      <c r="A290" s="31"/>
      <c r="B290" s="58" t="s">
        <v>119</v>
      </c>
      <c r="C290" s="23">
        <f>SUM(C291:C296)</f>
        <v>1041330</v>
      </c>
      <c r="D290" s="23">
        <f t="shared" ref="D290:E290" si="14">SUM(D291:D296)</f>
        <v>16619</v>
      </c>
      <c r="E290" s="23">
        <f t="shared" si="14"/>
        <v>960367</v>
      </c>
      <c r="F290" s="23">
        <f>SUM(F291:F296)</f>
        <v>0</v>
      </c>
      <c r="G290" s="24">
        <f t="shared" ref="G290" si="15">SUM(G291:G296)</f>
        <v>2018316</v>
      </c>
      <c r="H290" s="1"/>
    </row>
    <row r="291" spans="1:8" ht="15.75">
      <c r="A291" s="29"/>
      <c r="B291" s="55" t="s">
        <v>200</v>
      </c>
      <c r="C291" s="30">
        <f>G291-D291-E291</f>
        <v>295856</v>
      </c>
      <c r="D291" s="21">
        <v>1332</v>
      </c>
      <c r="E291" s="21">
        <f>35124+365112+7032+9493+24734</f>
        <v>441495</v>
      </c>
      <c r="F291" s="21"/>
      <c r="G291" s="24">
        <f>'4.pielikums'!B272</f>
        <v>738683</v>
      </c>
      <c r="H291" s="1"/>
    </row>
    <row r="292" spans="1:8" ht="15.75">
      <c r="A292" s="29"/>
      <c r="B292" s="55" t="s">
        <v>60</v>
      </c>
      <c r="C292" s="30">
        <f t="shared" ref="C292:C296" si="16">G292-D292-E292</f>
        <v>155105</v>
      </c>
      <c r="D292" s="21">
        <v>3619</v>
      </c>
      <c r="E292" s="21">
        <f>2517+145847+4224+2122+782+13343</f>
        <v>168835</v>
      </c>
      <c r="F292" s="21"/>
      <c r="G292" s="24">
        <f>'4.pielikums'!B273</f>
        <v>327559</v>
      </c>
      <c r="H292" s="1"/>
    </row>
    <row r="293" spans="1:8" ht="15.75">
      <c r="A293" s="29"/>
      <c r="B293" s="55" t="s">
        <v>134</v>
      </c>
      <c r="C293" s="30">
        <f t="shared" si="16"/>
        <v>76619</v>
      </c>
      <c r="D293" s="21">
        <v>2588</v>
      </c>
      <c r="E293" s="21">
        <f>1569</f>
        <v>1569</v>
      </c>
      <c r="F293" s="21"/>
      <c r="G293" s="24">
        <f>'4.pielikums'!B274</f>
        <v>80776</v>
      </c>
      <c r="H293" s="1"/>
    </row>
    <row r="294" spans="1:8" s="1" customFormat="1" ht="15.75">
      <c r="A294" s="29"/>
      <c r="B294" s="55" t="s">
        <v>459</v>
      </c>
      <c r="C294" s="30">
        <f t="shared" si="16"/>
        <v>158257</v>
      </c>
      <c r="D294" s="21">
        <v>5350</v>
      </c>
      <c r="E294" s="21">
        <f>113184+13184+2863+1453+3805+41000+700</f>
        <v>176189</v>
      </c>
      <c r="F294" s="21"/>
      <c r="G294" s="24">
        <f>'4.pielikums'!B317</f>
        <v>339796</v>
      </c>
    </row>
    <row r="295" spans="1:8" s="1" customFormat="1" ht="15.75">
      <c r="A295" s="29"/>
      <c r="B295" s="99" t="s">
        <v>410</v>
      </c>
      <c r="C295" s="30">
        <f t="shared" si="16"/>
        <v>175193</v>
      </c>
      <c r="D295" s="21">
        <v>2500</v>
      </c>
      <c r="E295" s="21">
        <v>109599</v>
      </c>
      <c r="F295" s="21"/>
      <c r="G295" s="24">
        <f>'4.pielikums'!B298</f>
        <v>287292</v>
      </c>
    </row>
    <row r="296" spans="1:8" s="1" customFormat="1" ht="15.75">
      <c r="A296" s="29"/>
      <c r="B296" s="55" t="s">
        <v>408</v>
      </c>
      <c r="C296" s="30">
        <f t="shared" si="16"/>
        <v>180300</v>
      </c>
      <c r="D296" s="21">
        <v>1230</v>
      </c>
      <c r="E296" s="21">
        <v>62680</v>
      </c>
      <c r="F296" s="21"/>
      <c r="G296" s="24">
        <f>'4.pielikums'!B300</f>
        <v>244210</v>
      </c>
    </row>
    <row r="297" spans="1:8" ht="15.75">
      <c r="A297" s="31"/>
      <c r="B297" s="58" t="s">
        <v>120</v>
      </c>
      <c r="C297" s="23">
        <f>SUM(C298:C308)</f>
        <v>2607720</v>
      </c>
      <c r="D297" s="23">
        <f t="shared" ref="D297:G297" si="17">SUM(D298:D308)</f>
        <v>87848</v>
      </c>
      <c r="E297" s="23">
        <f t="shared" si="17"/>
        <v>1923518</v>
      </c>
      <c r="F297" s="23">
        <f t="shared" si="17"/>
        <v>0</v>
      </c>
      <c r="G297" s="24">
        <f t="shared" si="17"/>
        <v>4619086</v>
      </c>
      <c r="H297" s="1"/>
    </row>
    <row r="298" spans="1:8" ht="15.75">
      <c r="A298" s="29"/>
      <c r="B298" s="55" t="s">
        <v>61</v>
      </c>
      <c r="C298" s="21">
        <f>G298-E298-D298</f>
        <v>332923</v>
      </c>
      <c r="D298" s="21">
        <v>9000</v>
      </c>
      <c r="E298" s="21">
        <f>380112+5584+6947+21480</f>
        <v>414123</v>
      </c>
      <c r="F298" s="21"/>
      <c r="G298" s="24">
        <f>'4.pielikums'!B275</f>
        <v>756046</v>
      </c>
      <c r="H298" s="1"/>
    </row>
    <row r="299" spans="1:8" s="1" customFormat="1" ht="15.75">
      <c r="A299" s="29"/>
      <c r="B299" s="55" t="s">
        <v>431</v>
      </c>
      <c r="C299" s="21">
        <f t="shared" ref="C299:C308" si="18">G299-E299-D299</f>
        <v>300764</v>
      </c>
      <c r="D299" s="21">
        <v>3383</v>
      </c>
      <c r="E299" s="21">
        <v>211134</v>
      </c>
      <c r="F299" s="21"/>
      <c r="G299" s="24">
        <f>'4.pielikums'!B301</f>
        <v>515281</v>
      </c>
    </row>
    <row r="300" spans="1:8" ht="31.5">
      <c r="A300" s="29"/>
      <c r="B300" s="56" t="s">
        <v>142</v>
      </c>
      <c r="C300" s="21">
        <f t="shared" si="18"/>
        <v>423773</v>
      </c>
      <c r="D300" s="21">
        <v>21425</v>
      </c>
      <c r="E300" s="21">
        <f>167544+80672+7808+3864+13000+13591+19371</f>
        <v>305850</v>
      </c>
      <c r="F300" s="21"/>
      <c r="G300" s="24">
        <f>'4.pielikums'!B276</f>
        <v>751048</v>
      </c>
      <c r="H300" s="1"/>
    </row>
    <row r="301" spans="1:8" ht="15.75">
      <c r="A301" s="29"/>
      <c r="B301" s="55" t="s">
        <v>62</v>
      </c>
      <c r="C301" s="21">
        <f t="shared" si="18"/>
        <v>243065</v>
      </c>
      <c r="D301" s="21">
        <v>14292</v>
      </c>
      <c r="E301" s="21">
        <f>3358+91456+4168+9672+2234+8946</f>
        <v>119834</v>
      </c>
      <c r="F301" s="21"/>
      <c r="G301" s="24">
        <f>'4.pielikums'!B277</f>
        <v>377191</v>
      </c>
      <c r="H301" s="1"/>
    </row>
    <row r="302" spans="1:8" ht="31.5">
      <c r="A302" s="29"/>
      <c r="B302" s="56" t="s">
        <v>192</v>
      </c>
      <c r="C302" s="21">
        <f t="shared" si="18"/>
        <v>49891</v>
      </c>
      <c r="D302" s="21">
        <v>2550</v>
      </c>
      <c r="E302" s="21">
        <v>0</v>
      </c>
      <c r="F302" s="21"/>
      <c r="G302" s="24">
        <f>'4.pielikums'!B278</f>
        <v>52441</v>
      </c>
      <c r="H302" s="1"/>
    </row>
    <row r="303" spans="1:8" ht="15.75">
      <c r="A303" s="29"/>
      <c r="B303" s="55" t="s">
        <v>63</v>
      </c>
      <c r="C303" s="21">
        <f t="shared" si="18"/>
        <v>243802</v>
      </c>
      <c r="D303" s="21">
        <v>10800</v>
      </c>
      <c r="E303" s="21">
        <f>5762+182576+6248+23336+11123+3172+18058</f>
        <v>250275</v>
      </c>
      <c r="F303" s="21"/>
      <c r="G303" s="24">
        <f>'4.pielikums'!B279</f>
        <v>504877</v>
      </c>
      <c r="H303" s="1"/>
    </row>
    <row r="304" spans="1:8" ht="31.5">
      <c r="A304" s="29"/>
      <c r="B304" s="56" t="s">
        <v>167</v>
      </c>
      <c r="C304" s="21">
        <f t="shared" si="18"/>
        <v>53971</v>
      </c>
      <c r="D304" s="21">
        <v>3718</v>
      </c>
      <c r="E304" s="21"/>
      <c r="F304" s="21"/>
      <c r="G304" s="24">
        <f>'4.pielikums'!B280</f>
        <v>57689</v>
      </c>
      <c r="H304" s="1"/>
    </row>
    <row r="305" spans="1:8" ht="31.5">
      <c r="A305" s="29"/>
      <c r="B305" s="56" t="s">
        <v>166</v>
      </c>
      <c r="C305" s="21">
        <f t="shared" si="18"/>
        <v>101971</v>
      </c>
      <c r="D305" s="21">
        <v>9850</v>
      </c>
      <c r="E305" s="21"/>
      <c r="F305" s="21"/>
      <c r="G305" s="24">
        <f>'4.pielikums'!B271</f>
        <v>111821</v>
      </c>
      <c r="H305" s="1"/>
    </row>
    <row r="306" spans="1:8" s="1" customFormat="1" ht="15.75">
      <c r="A306" s="29"/>
      <c r="B306" s="56" t="s">
        <v>409</v>
      </c>
      <c r="C306" s="21">
        <f t="shared" si="18"/>
        <v>170013</v>
      </c>
      <c r="D306" s="21">
        <v>7550</v>
      </c>
      <c r="E306" s="21">
        <v>255643</v>
      </c>
      <c r="F306" s="21"/>
      <c r="G306" s="24">
        <f>'4.pielikums'!B299</f>
        <v>433206</v>
      </c>
    </row>
    <row r="307" spans="1:8" s="1" customFormat="1" ht="15.75">
      <c r="A307" s="29"/>
      <c r="B307" s="56" t="s">
        <v>415</v>
      </c>
      <c r="C307" s="21">
        <f t="shared" si="18"/>
        <v>384648</v>
      </c>
      <c r="D307" s="21">
        <v>5280</v>
      </c>
      <c r="E307" s="21">
        <f>205312+16888+7832+3885+5248+1025</f>
        <v>240190</v>
      </c>
      <c r="F307" s="21"/>
      <c r="G307" s="24">
        <f>'4.pielikums'!B318</f>
        <v>630118</v>
      </c>
    </row>
    <row r="308" spans="1:8" s="1" customFormat="1" ht="15.75">
      <c r="A308" s="29"/>
      <c r="B308" s="56" t="s">
        <v>429</v>
      </c>
      <c r="C308" s="21">
        <f t="shared" si="18"/>
        <v>302899</v>
      </c>
      <c r="D308" s="21"/>
      <c r="E308" s="21">
        <f>126469</f>
        <v>126469</v>
      </c>
      <c r="F308" s="21"/>
      <c r="G308" s="24">
        <f>'4.pielikums'!B334+'4.pielikums'!B332+'4.pielikums'!B331</f>
        <v>429368</v>
      </c>
    </row>
    <row r="309" spans="1:8" ht="31.5">
      <c r="A309" s="34"/>
      <c r="B309" s="62" t="s">
        <v>121</v>
      </c>
      <c r="C309" s="23">
        <f>SUM(C310:C321)</f>
        <v>881011</v>
      </c>
      <c r="D309" s="23">
        <f t="shared" ref="D309:G309" si="19">SUM(D310:D321)</f>
        <v>108894</v>
      </c>
      <c r="E309" s="23">
        <f t="shared" si="19"/>
        <v>798796</v>
      </c>
      <c r="F309" s="23">
        <f t="shared" si="19"/>
        <v>0</v>
      </c>
      <c r="G309" s="24">
        <f t="shared" si="19"/>
        <v>1788701</v>
      </c>
      <c r="H309" s="1"/>
    </row>
    <row r="310" spans="1:8" ht="15.75">
      <c r="A310" s="29"/>
      <c r="B310" s="55" t="s">
        <v>64</v>
      </c>
      <c r="C310" s="30">
        <f>G310-E310-D310</f>
        <v>142295</v>
      </c>
      <c r="D310" s="21">
        <v>19445</v>
      </c>
      <c r="E310" s="21">
        <f>4848+314055+7955</f>
        <v>326858</v>
      </c>
      <c r="F310" s="21"/>
      <c r="G310" s="24">
        <f>'4.pielikums'!B281</f>
        <v>488598</v>
      </c>
      <c r="H310" s="1"/>
    </row>
    <row r="311" spans="1:8" ht="15.75">
      <c r="A311" s="29"/>
      <c r="B311" s="55" t="s">
        <v>65</v>
      </c>
      <c r="C311" s="30">
        <f t="shared" ref="C311:C315" si="20">G311-E311-D311</f>
        <v>95018</v>
      </c>
      <c r="D311" s="21">
        <v>12150</v>
      </c>
      <c r="E311" s="21">
        <f>1560+40872+2133</f>
        <v>44565</v>
      </c>
      <c r="F311" s="21"/>
      <c r="G311" s="24">
        <f>'4.pielikums'!B282</f>
        <v>151733</v>
      </c>
      <c r="H311" s="1"/>
    </row>
    <row r="312" spans="1:8" ht="15.75">
      <c r="A312" s="29"/>
      <c r="B312" s="55" t="s">
        <v>66</v>
      </c>
      <c r="C312" s="30">
        <f t="shared" si="20"/>
        <v>222206</v>
      </c>
      <c r="D312" s="21">
        <v>6400</v>
      </c>
      <c r="E312" s="21">
        <f>4416+127532</f>
        <v>131948</v>
      </c>
      <c r="F312" s="21"/>
      <c r="G312" s="24">
        <f>'4.pielikums'!B283</f>
        <v>360554</v>
      </c>
      <c r="H312" s="1"/>
    </row>
    <row r="313" spans="1:8" ht="15.75">
      <c r="A313" s="29"/>
      <c r="B313" s="55" t="s">
        <v>122</v>
      </c>
      <c r="C313" s="30">
        <f t="shared" si="20"/>
        <v>115803</v>
      </c>
      <c r="D313" s="21">
        <v>63675</v>
      </c>
      <c r="E313" s="21"/>
      <c r="F313" s="21"/>
      <c r="G313" s="24">
        <f>'4.pielikums'!B284</f>
        <v>179478</v>
      </c>
      <c r="H313" s="1"/>
    </row>
    <row r="314" spans="1:8" s="1" customFormat="1" ht="31.5">
      <c r="A314" s="29"/>
      <c r="B314" s="99" t="s">
        <v>406</v>
      </c>
      <c r="C314" s="30">
        <f t="shared" si="20"/>
        <v>43553</v>
      </c>
      <c r="D314" s="21"/>
      <c r="E314" s="21"/>
      <c r="F314" s="21"/>
      <c r="G314" s="24">
        <f>'4.pielikums'!B302</f>
        <v>43553</v>
      </c>
    </row>
    <row r="315" spans="1:8" s="1" customFormat="1" ht="31.5">
      <c r="A315" s="29"/>
      <c r="B315" s="99" t="s">
        <v>405</v>
      </c>
      <c r="C315" s="30">
        <f t="shared" si="20"/>
        <v>0</v>
      </c>
      <c r="D315" s="21"/>
      <c r="E315" s="21">
        <v>59222</v>
      </c>
      <c r="F315" s="21"/>
      <c r="G315" s="24">
        <f>'4.pielikums'!B303</f>
        <v>59222</v>
      </c>
    </row>
    <row r="316" spans="1:8" s="1" customFormat="1" ht="15.75">
      <c r="A316" s="29"/>
      <c r="B316" s="99" t="s">
        <v>404</v>
      </c>
      <c r="C316" s="21">
        <f t="shared" ref="C316:C321" si="21">G316-E316-D316</f>
        <v>28257</v>
      </c>
      <c r="D316" s="21">
        <v>3872</v>
      </c>
      <c r="E316" s="21">
        <v>808</v>
      </c>
      <c r="F316" s="21"/>
      <c r="G316" s="24">
        <f>'4.pielikums'!B304</f>
        <v>32937</v>
      </c>
    </row>
    <row r="317" spans="1:8" s="1" customFormat="1" ht="31.5">
      <c r="A317" s="29"/>
      <c r="B317" s="99" t="s">
        <v>403</v>
      </c>
      <c r="C317" s="21">
        <f t="shared" si="21"/>
        <v>0</v>
      </c>
      <c r="D317" s="21"/>
      <c r="E317" s="21">
        <v>117120</v>
      </c>
      <c r="F317" s="21"/>
      <c r="G317" s="24">
        <f>'4.pielikums'!B305</f>
        <v>117120</v>
      </c>
    </row>
    <row r="318" spans="1:8" s="1" customFormat="1" ht="29.25" customHeight="1">
      <c r="A318" s="29"/>
      <c r="B318" s="110" t="s">
        <v>426</v>
      </c>
      <c r="C318" s="21">
        <f t="shared" si="21"/>
        <v>90018</v>
      </c>
      <c r="D318" s="21"/>
      <c r="E318" s="21">
        <f>59240</f>
        <v>59240</v>
      </c>
      <c r="F318" s="21"/>
      <c r="G318" s="24">
        <f>'4.pielikums'!B337</f>
        <v>149258</v>
      </c>
    </row>
    <row r="319" spans="1:8" ht="15.75">
      <c r="A319" s="29"/>
      <c r="B319" s="55" t="s">
        <v>67</v>
      </c>
      <c r="C319" s="21">
        <f t="shared" si="21"/>
        <v>69290</v>
      </c>
      <c r="D319" s="21">
        <f>552+1800</f>
        <v>2352</v>
      </c>
      <c r="E319" s="21">
        <f>22880</f>
        <v>22880</v>
      </c>
      <c r="F319" s="21"/>
      <c r="G319" s="24">
        <f>'4.pielikums'!B285</f>
        <v>94522</v>
      </c>
      <c r="H319" s="1"/>
    </row>
    <row r="320" spans="1:8" s="1" customFormat="1" ht="15.75">
      <c r="A320" s="29"/>
      <c r="B320" s="100" t="s">
        <v>416</v>
      </c>
      <c r="C320" s="21">
        <f t="shared" si="21"/>
        <v>51885</v>
      </c>
      <c r="D320" s="21">
        <v>1000</v>
      </c>
      <c r="E320" s="21">
        <f>1312+34843</f>
        <v>36155</v>
      </c>
      <c r="F320" s="21"/>
      <c r="G320" s="24">
        <f>'4.pielikums'!B319</f>
        <v>89040</v>
      </c>
    </row>
    <row r="321" spans="1:8" s="1" customFormat="1" ht="31.5">
      <c r="A321" s="29"/>
      <c r="B321" s="100" t="s">
        <v>417</v>
      </c>
      <c r="C321" s="21">
        <f t="shared" si="21"/>
        <v>22686</v>
      </c>
      <c r="D321" s="21"/>
      <c r="E321" s="21"/>
      <c r="F321" s="21"/>
      <c r="G321" s="24">
        <f>'4.pielikums'!B320</f>
        <v>22686</v>
      </c>
    </row>
    <row r="322" spans="1:8" ht="15.75">
      <c r="A322" s="31"/>
      <c r="B322" s="62" t="s">
        <v>123</v>
      </c>
      <c r="C322" s="23">
        <f>C323</f>
        <v>136409</v>
      </c>
      <c r="D322" s="23">
        <f>D323</f>
        <v>200</v>
      </c>
      <c r="E322" s="23">
        <f>E323</f>
        <v>769</v>
      </c>
      <c r="F322" s="23">
        <f>F323</f>
        <v>0</v>
      </c>
      <c r="G322" s="24">
        <f>G323</f>
        <v>137378</v>
      </c>
      <c r="H322" s="1"/>
    </row>
    <row r="323" spans="1:8" ht="15.75">
      <c r="A323" s="28"/>
      <c r="B323" s="59" t="s">
        <v>140</v>
      </c>
      <c r="C323" s="30">
        <f>G323-D323-E323</f>
        <v>136409</v>
      </c>
      <c r="D323" s="21">
        <v>200</v>
      </c>
      <c r="E323" s="21">
        <v>769</v>
      </c>
      <c r="F323" s="21"/>
      <c r="G323" s="24">
        <f>'4.pielikums'!B286</f>
        <v>137378</v>
      </c>
      <c r="H323" s="1"/>
    </row>
    <row r="324" spans="1:8" ht="31.5">
      <c r="A324" s="33"/>
      <c r="B324" s="62" t="s">
        <v>124</v>
      </c>
      <c r="C324" s="23">
        <f>SUM(C325:C371)</f>
        <v>1052740</v>
      </c>
      <c r="D324" s="23">
        <f>SUM(D325:D371)</f>
        <v>5015</v>
      </c>
      <c r="E324" s="23">
        <f>SUM(E325:E371)</f>
        <v>240580</v>
      </c>
      <c r="F324" s="23">
        <f>SUM(F325:F371)</f>
        <v>0</v>
      </c>
      <c r="G324" s="24">
        <f>SUM(G325:G371)</f>
        <v>1298335</v>
      </c>
      <c r="H324" s="1"/>
    </row>
    <row r="325" spans="1:8" ht="31.5">
      <c r="A325" s="21"/>
      <c r="B325" s="59" t="s">
        <v>69</v>
      </c>
      <c r="C325" s="30">
        <f>G325-D325-E325-F325</f>
        <v>34901</v>
      </c>
      <c r="D325" s="21">
        <v>4025</v>
      </c>
      <c r="E325" s="21"/>
      <c r="F325" s="21"/>
      <c r="G325" s="24">
        <f>'4.pielikums'!B287</f>
        <v>38926</v>
      </c>
      <c r="H325" s="1"/>
    </row>
    <row r="326" spans="1:8" s="1" customFormat="1" ht="15.75">
      <c r="A326" s="21"/>
      <c r="B326" s="59" t="s">
        <v>165</v>
      </c>
      <c r="C326" s="30">
        <f t="shared" ref="C326:C371" si="22">G326-D326-E326-F326</f>
        <v>8404</v>
      </c>
      <c r="D326" s="21"/>
      <c r="E326" s="21">
        <f>5502+1455</f>
        <v>6957</v>
      </c>
      <c r="F326" s="21"/>
      <c r="G326" s="24">
        <f>'4.pielikums'!B297</f>
        <v>15361</v>
      </c>
    </row>
    <row r="327" spans="1:8" s="1" customFormat="1" ht="15.75">
      <c r="A327" s="21"/>
      <c r="B327" s="99" t="s">
        <v>432</v>
      </c>
      <c r="C327" s="30">
        <f t="shared" si="22"/>
        <v>11500</v>
      </c>
      <c r="D327" s="21"/>
      <c r="E327" s="21"/>
      <c r="F327" s="21"/>
      <c r="G327" s="24">
        <f>'4.pielikums'!B306</f>
        <v>11500</v>
      </c>
    </row>
    <row r="328" spans="1:8" s="1" customFormat="1" ht="15.75">
      <c r="A328" s="21"/>
      <c r="B328" s="99" t="s">
        <v>401</v>
      </c>
      <c r="C328" s="30">
        <f t="shared" si="22"/>
        <v>19522</v>
      </c>
      <c r="D328" s="21"/>
      <c r="E328" s="21"/>
      <c r="F328" s="21"/>
      <c r="G328" s="24">
        <f>'4.pielikums'!B307</f>
        <v>19522</v>
      </c>
    </row>
    <row r="329" spans="1:8" s="1" customFormat="1" ht="15.75">
      <c r="A329" s="21"/>
      <c r="B329" s="99" t="s">
        <v>400</v>
      </c>
      <c r="C329" s="30">
        <f t="shared" si="22"/>
        <v>16031</v>
      </c>
      <c r="D329" s="21">
        <v>300</v>
      </c>
      <c r="E329" s="21"/>
      <c r="F329" s="21"/>
      <c r="G329" s="24">
        <f>'4.pielikums'!B308</f>
        <v>16331</v>
      </c>
    </row>
    <row r="330" spans="1:8" s="1" customFormat="1" ht="15.75">
      <c r="A330" s="21"/>
      <c r="B330" s="99" t="s">
        <v>399</v>
      </c>
      <c r="C330" s="30">
        <f t="shared" si="22"/>
        <v>2107</v>
      </c>
      <c r="D330" s="21"/>
      <c r="E330" s="21"/>
      <c r="F330" s="21"/>
      <c r="G330" s="24">
        <f>'4.pielikums'!B309</f>
        <v>2107</v>
      </c>
    </row>
    <row r="331" spans="1:8" s="1" customFormat="1" ht="15.75">
      <c r="A331" s="21"/>
      <c r="B331" s="99" t="s">
        <v>398</v>
      </c>
      <c r="C331" s="30">
        <f t="shared" si="22"/>
        <v>11139</v>
      </c>
      <c r="D331" s="21">
        <v>200</v>
      </c>
      <c r="E331" s="21"/>
      <c r="F331" s="21"/>
      <c r="G331" s="24">
        <f>'4.pielikums'!B310</f>
        <v>11339</v>
      </c>
    </row>
    <row r="332" spans="1:8" s="1" customFormat="1" ht="31.5">
      <c r="A332" s="21"/>
      <c r="B332" s="99" t="s">
        <v>397</v>
      </c>
      <c r="C332" s="30">
        <f t="shared" si="22"/>
        <v>26502</v>
      </c>
      <c r="D332" s="21">
        <v>200</v>
      </c>
      <c r="E332" s="21"/>
      <c r="F332" s="21"/>
      <c r="G332" s="24">
        <f>'4.pielikums'!B311</f>
        <v>26702</v>
      </c>
    </row>
    <row r="333" spans="1:8" s="1" customFormat="1" ht="15.75">
      <c r="A333" s="21"/>
      <c r="B333" s="99" t="s">
        <v>396</v>
      </c>
      <c r="C333" s="30">
        <f t="shared" si="22"/>
        <v>14619</v>
      </c>
      <c r="D333" s="21">
        <v>290</v>
      </c>
      <c r="E333" s="21"/>
      <c r="F333" s="21"/>
      <c r="G333" s="24">
        <f>'4.pielikums'!B312</f>
        <v>14909</v>
      </c>
    </row>
    <row r="334" spans="1:8" s="1" customFormat="1" ht="31.5">
      <c r="A334" s="21"/>
      <c r="B334" s="99" t="s">
        <v>395</v>
      </c>
      <c r="C334" s="30">
        <f>G334-D334-E334-F334</f>
        <v>54992</v>
      </c>
      <c r="D334" s="21"/>
      <c r="E334" s="21"/>
      <c r="F334" s="21"/>
      <c r="G334" s="24">
        <f>'4.pielikums'!B313</f>
        <v>54992</v>
      </c>
    </row>
    <row r="335" spans="1:8" s="1" customFormat="1" ht="31.5">
      <c r="A335" s="21"/>
      <c r="B335" s="99" t="s">
        <v>394</v>
      </c>
      <c r="C335" s="30">
        <f t="shared" si="22"/>
        <v>38134</v>
      </c>
      <c r="D335" s="21"/>
      <c r="E335" s="21"/>
      <c r="F335" s="21"/>
      <c r="G335" s="24">
        <f>'4.pielikums'!B314</f>
        <v>38134</v>
      </c>
    </row>
    <row r="336" spans="1:8" s="1" customFormat="1" ht="31.5">
      <c r="A336" s="21"/>
      <c r="B336" s="99" t="s">
        <v>393</v>
      </c>
      <c r="C336" s="30">
        <f t="shared" si="22"/>
        <v>1080</v>
      </c>
      <c r="D336" s="21"/>
      <c r="E336" s="21"/>
      <c r="F336" s="21"/>
      <c r="G336" s="24">
        <f>'4.pielikums'!B315</f>
        <v>1080</v>
      </c>
    </row>
    <row r="337" spans="1:7" s="1" customFormat="1" ht="31.5">
      <c r="A337" s="21"/>
      <c r="B337" s="99" t="s">
        <v>392</v>
      </c>
      <c r="C337" s="30">
        <f t="shared" si="22"/>
        <v>820</v>
      </c>
      <c r="D337" s="21"/>
      <c r="E337" s="21"/>
      <c r="F337" s="21"/>
      <c r="G337" s="24">
        <f>'4.pielikums'!B316</f>
        <v>820</v>
      </c>
    </row>
    <row r="338" spans="1:7" s="1" customFormat="1" ht="15.75">
      <c r="A338" s="21"/>
      <c r="B338" s="110" t="s">
        <v>447</v>
      </c>
      <c r="C338" s="30">
        <f t="shared" si="22"/>
        <v>14054</v>
      </c>
      <c r="D338" s="21"/>
      <c r="E338" s="21"/>
      <c r="F338" s="21"/>
      <c r="G338" s="24">
        <f>'4.pielikums'!B339</f>
        <v>14054</v>
      </c>
    </row>
    <row r="339" spans="1:7" s="1" customFormat="1" ht="31.5">
      <c r="A339" s="21"/>
      <c r="B339" s="110" t="s">
        <v>446</v>
      </c>
      <c r="C339" s="30">
        <f>G339-D339-E339-F339</f>
        <v>250</v>
      </c>
      <c r="D339" s="21"/>
      <c r="E339" s="21"/>
      <c r="F339" s="21"/>
      <c r="G339" s="24">
        <f>'4.pielikums'!B340</f>
        <v>250</v>
      </c>
    </row>
    <row r="340" spans="1:7" s="1" customFormat="1" ht="31.5">
      <c r="A340" s="21"/>
      <c r="B340" s="56" t="s">
        <v>445</v>
      </c>
      <c r="C340" s="30">
        <f t="shared" si="22"/>
        <v>677</v>
      </c>
      <c r="D340" s="21"/>
      <c r="E340" s="21"/>
      <c r="F340" s="21"/>
      <c r="G340" s="24">
        <f>'4.pielikums'!B341</f>
        <v>677</v>
      </c>
    </row>
    <row r="341" spans="1:7" s="1" customFormat="1" ht="56.25" customHeight="1">
      <c r="A341" s="28"/>
      <c r="B341" s="59" t="s">
        <v>201</v>
      </c>
      <c r="C341" s="30">
        <f>G341-D341-E341-F341</f>
        <v>23141</v>
      </c>
      <c r="D341" s="21"/>
      <c r="E341" s="21"/>
      <c r="F341" s="21"/>
      <c r="G341" s="24">
        <f>'4.pielikums'!B376</f>
        <v>23141</v>
      </c>
    </row>
    <row r="342" spans="1:7" s="1" customFormat="1" ht="15.75">
      <c r="A342" s="28"/>
      <c r="B342" s="64" t="s">
        <v>170</v>
      </c>
      <c r="C342" s="30">
        <f t="shared" si="22"/>
        <v>4424</v>
      </c>
      <c r="D342" s="21"/>
      <c r="E342" s="21">
        <v>0</v>
      </c>
      <c r="F342" s="21">
        <v>0</v>
      </c>
      <c r="G342" s="24">
        <f>'4.pielikums'!B374</f>
        <v>4424</v>
      </c>
    </row>
    <row r="343" spans="1:7" s="1" customFormat="1" ht="31.5">
      <c r="A343" s="28"/>
      <c r="B343" s="65" t="s">
        <v>163</v>
      </c>
      <c r="C343" s="30">
        <f t="shared" si="22"/>
        <v>26838</v>
      </c>
      <c r="D343" s="21"/>
      <c r="E343" s="21"/>
      <c r="F343" s="21"/>
      <c r="G343" s="24">
        <f>'4.pielikums'!B378</f>
        <v>26838</v>
      </c>
    </row>
    <row r="344" spans="1:7" s="1" customFormat="1" ht="78.75">
      <c r="A344" s="28"/>
      <c r="B344" s="65" t="s">
        <v>202</v>
      </c>
      <c r="C344" s="30">
        <f t="shared" si="22"/>
        <v>12936</v>
      </c>
      <c r="D344" s="21"/>
      <c r="E344" s="21">
        <v>0</v>
      </c>
      <c r="F344" s="21"/>
      <c r="G344" s="24">
        <f>'4.pielikums'!B375</f>
        <v>12936</v>
      </c>
    </row>
    <row r="345" spans="1:7" s="1" customFormat="1" ht="54.75" customHeight="1">
      <c r="A345" s="28"/>
      <c r="B345" s="56" t="s">
        <v>205</v>
      </c>
      <c r="C345" s="30">
        <f t="shared" si="22"/>
        <v>17160</v>
      </c>
      <c r="D345" s="21"/>
      <c r="E345" s="21"/>
      <c r="F345" s="21">
        <v>0</v>
      </c>
      <c r="G345" s="24">
        <f>'4.pielikums'!B377</f>
        <v>17160</v>
      </c>
    </row>
    <row r="346" spans="1:7" s="1" customFormat="1" ht="47.25">
      <c r="A346" s="28"/>
      <c r="B346" s="63" t="s">
        <v>204</v>
      </c>
      <c r="C346" s="30">
        <f t="shared" si="22"/>
        <v>23784</v>
      </c>
      <c r="D346" s="21"/>
      <c r="E346" s="21">
        <v>0</v>
      </c>
      <c r="F346" s="30">
        <v>0</v>
      </c>
      <c r="G346" s="24">
        <f>'4.pielikums'!B381</f>
        <v>23784</v>
      </c>
    </row>
    <row r="347" spans="1:7" s="1" customFormat="1" ht="63">
      <c r="A347" s="28"/>
      <c r="B347" s="63" t="s">
        <v>211</v>
      </c>
      <c r="C347" s="30">
        <f>G347-D347-E347-F347</f>
        <v>10430</v>
      </c>
      <c r="D347" s="21"/>
      <c r="E347" s="21"/>
      <c r="F347" s="30"/>
      <c r="G347" s="24">
        <f>'4.pielikums'!B389</f>
        <v>10430</v>
      </c>
    </row>
    <row r="348" spans="1:7" s="1" customFormat="1" ht="31.5">
      <c r="A348" s="28"/>
      <c r="B348" s="100" t="s">
        <v>422</v>
      </c>
      <c r="C348" s="30">
        <f t="shared" si="22"/>
        <v>2349</v>
      </c>
      <c r="D348" s="21"/>
      <c r="E348" s="21"/>
      <c r="F348" s="30"/>
      <c r="G348" s="24">
        <f>'4.pielikums'!B328</f>
        <v>2349</v>
      </c>
    </row>
    <row r="349" spans="1:7" s="1" customFormat="1" ht="31.5">
      <c r="A349" s="28"/>
      <c r="B349" s="100" t="s">
        <v>423</v>
      </c>
      <c r="C349" s="30">
        <f t="shared" si="22"/>
        <v>16372</v>
      </c>
      <c r="D349" s="21"/>
      <c r="E349" s="21"/>
      <c r="F349" s="30"/>
      <c r="G349" s="24">
        <f>'4.pielikums'!B329</f>
        <v>16372</v>
      </c>
    </row>
    <row r="350" spans="1:7" s="1" customFormat="1" ht="58.5" customHeight="1">
      <c r="A350" s="28"/>
      <c r="B350" s="59" t="s">
        <v>441</v>
      </c>
      <c r="C350" s="30">
        <f t="shared" si="22"/>
        <v>13219</v>
      </c>
      <c r="D350" s="21"/>
      <c r="E350" s="21"/>
      <c r="F350" s="21">
        <v>0</v>
      </c>
      <c r="G350" s="24">
        <f>'4.pielikums'!B373</f>
        <v>13219</v>
      </c>
    </row>
    <row r="351" spans="1:7" s="1" customFormat="1" ht="46.15" customHeight="1">
      <c r="A351" s="28"/>
      <c r="B351" s="99" t="s">
        <v>439</v>
      </c>
      <c r="C351" s="30">
        <f>G351-D351-E351-F351</f>
        <v>0</v>
      </c>
      <c r="D351" s="21"/>
      <c r="E351" s="21">
        <v>5360</v>
      </c>
      <c r="F351" s="21"/>
      <c r="G351" s="24">
        <f>'4.pielikums'!B295</f>
        <v>5360</v>
      </c>
    </row>
    <row r="352" spans="1:7" s="1" customFormat="1" ht="46.15" customHeight="1">
      <c r="A352" s="28"/>
      <c r="B352" s="99" t="s">
        <v>454</v>
      </c>
      <c r="C352" s="30">
        <f t="shared" si="22"/>
        <v>4186</v>
      </c>
      <c r="D352" s="21"/>
      <c r="E352" s="21">
        <v>569</v>
      </c>
      <c r="F352" s="21"/>
      <c r="G352" s="24">
        <f>'4.pielikums'!B325</f>
        <v>4755</v>
      </c>
    </row>
    <row r="353" spans="1:7" s="1" customFormat="1" ht="15.75">
      <c r="A353" s="28"/>
      <c r="B353" s="59" t="s">
        <v>442</v>
      </c>
      <c r="C353" s="30">
        <f t="shared" si="22"/>
        <v>875</v>
      </c>
      <c r="D353" s="21"/>
      <c r="E353" s="21">
        <f>1564+919</f>
        <v>2483</v>
      </c>
      <c r="F353" s="21"/>
      <c r="G353" s="24">
        <f>'4.pielikums'!B380</f>
        <v>3358</v>
      </c>
    </row>
    <row r="354" spans="1:7" s="1" customFormat="1" ht="15.75">
      <c r="A354" s="28"/>
      <c r="B354" s="59" t="s">
        <v>131</v>
      </c>
      <c r="C354" s="30">
        <f t="shared" si="22"/>
        <v>8500</v>
      </c>
      <c r="D354" s="21"/>
      <c r="E354" s="21"/>
      <c r="F354" s="21"/>
      <c r="G354" s="24">
        <f>'4.pielikums'!B291</f>
        <v>8500</v>
      </c>
    </row>
    <row r="355" spans="1:7" s="1" customFormat="1" ht="47.25">
      <c r="A355" s="28"/>
      <c r="B355" s="59" t="s">
        <v>437</v>
      </c>
      <c r="C355" s="30">
        <f t="shared" si="22"/>
        <v>34084</v>
      </c>
      <c r="D355" s="21"/>
      <c r="E355" s="21">
        <v>45426</v>
      </c>
      <c r="F355" s="21"/>
      <c r="G355" s="24">
        <f>'4.pielikums'!B290</f>
        <v>79510</v>
      </c>
    </row>
    <row r="356" spans="1:7" s="1" customFormat="1" ht="47.25">
      <c r="A356" s="28"/>
      <c r="B356" s="99" t="s">
        <v>438</v>
      </c>
      <c r="C356" s="30">
        <f t="shared" si="22"/>
        <v>0</v>
      </c>
      <c r="D356" s="21"/>
      <c r="E356" s="21">
        <v>63520</v>
      </c>
      <c r="F356" s="21"/>
      <c r="G356" s="24">
        <f>'4.pielikums'!B294</f>
        <v>63520</v>
      </c>
    </row>
    <row r="357" spans="1:7" s="1" customFormat="1" ht="47.25">
      <c r="A357" s="28"/>
      <c r="B357" s="110" t="s">
        <v>449</v>
      </c>
      <c r="C357" s="30">
        <f t="shared" si="22"/>
        <v>0</v>
      </c>
      <c r="D357" s="21"/>
      <c r="E357" s="21">
        <v>12262</v>
      </c>
      <c r="F357" s="21"/>
      <c r="G357" s="24">
        <f>'4.pielikums'!B335</f>
        <v>12262</v>
      </c>
    </row>
    <row r="358" spans="1:7" s="1" customFormat="1" ht="47.25">
      <c r="A358" s="28"/>
      <c r="B358" s="110" t="s">
        <v>448</v>
      </c>
      <c r="C358" s="30">
        <f>G358-D358-E358-F358</f>
        <v>12052</v>
      </c>
      <c r="D358" s="21"/>
      <c r="E358" s="21">
        <v>12760</v>
      </c>
      <c r="F358" s="21"/>
      <c r="G358" s="24">
        <f>'4.pielikums'!B326</f>
        <v>24812</v>
      </c>
    </row>
    <row r="359" spans="1:7" s="1" customFormat="1" ht="47.25">
      <c r="A359" s="28"/>
      <c r="B359" s="59" t="s">
        <v>444</v>
      </c>
      <c r="C359" s="30">
        <f t="shared" si="22"/>
        <v>18129</v>
      </c>
      <c r="D359" s="21"/>
      <c r="E359" s="21">
        <v>39217</v>
      </c>
      <c r="F359" s="21"/>
      <c r="G359" s="24">
        <f>'4.pielikums'!B379</f>
        <v>57346</v>
      </c>
    </row>
    <row r="360" spans="1:7" s="1" customFormat="1" ht="47.25">
      <c r="A360" s="28"/>
      <c r="B360" s="99" t="s">
        <v>440</v>
      </c>
      <c r="C360" s="30">
        <f t="shared" si="22"/>
        <v>0</v>
      </c>
      <c r="D360" s="21"/>
      <c r="E360" s="21">
        <v>37780</v>
      </c>
      <c r="F360" s="21"/>
      <c r="G360" s="24">
        <f>'4.pielikums'!B296</f>
        <v>37780</v>
      </c>
    </row>
    <row r="361" spans="1:7" s="1" customFormat="1" ht="47.25">
      <c r="A361" s="28"/>
      <c r="B361" s="135" t="s">
        <v>450</v>
      </c>
      <c r="C361" s="30">
        <f t="shared" si="22"/>
        <v>0</v>
      </c>
      <c r="D361" s="21"/>
      <c r="E361" s="21">
        <v>7001</v>
      </c>
      <c r="F361" s="21"/>
      <c r="G361" s="24">
        <f>'4.pielikums'!B333</f>
        <v>7001</v>
      </c>
    </row>
    <row r="362" spans="1:7" s="1" customFormat="1" ht="47.25">
      <c r="A362" s="28"/>
      <c r="B362" s="135" t="s">
        <v>453</v>
      </c>
      <c r="C362" s="30">
        <f t="shared" si="22"/>
        <v>4998</v>
      </c>
      <c r="D362" s="21"/>
      <c r="E362" s="21">
        <v>4677</v>
      </c>
      <c r="F362" s="21"/>
      <c r="G362" s="24">
        <f>'4.pielikums'!B327</f>
        <v>9675</v>
      </c>
    </row>
    <row r="363" spans="1:7" s="1" customFormat="1" ht="31.5">
      <c r="A363" s="28"/>
      <c r="B363" s="111" t="s">
        <v>435</v>
      </c>
      <c r="C363" s="30">
        <f>G363-D363-E363-F363</f>
        <v>130</v>
      </c>
      <c r="D363" s="21"/>
      <c r="E363" s="21">
        <v>900</v>
      </c>
      <c r="F363" s="21"/>
      <c r="G363" s="24">
        <f>'4.pielikums'!B266</f>
        <v>1030</v>
      </c>
    </row>
    <row r="364" spans="1:7" s="1" customFormat="1" ht="31.5">
      <c r="A364" s="28"/>
      <c r="B364" s="110" t="s">
        <v>425</v>
      </c>
      <c r="C364" s="30">
        <f t="shared" si="22"/>
        <v>0</v>
      </c>
      <c r="D364" s="21"/>
      <c r="E364" s="21">
        <v>1668</v>
      </c>
      <c r="F364" s="21"/>
      <c r="G364" s="24">
        <f>'4.pielikums'!B338</f>
        <v>1668</v>
      </c>
    </row>
    <row r="365" spans="1:7" s="1" customFormat="1" ht="31.5">
      <c r="A365" s="28"/>
      <c r="B365" s="110" t="s">
        <v>452</v>
      </c>
      <c r="C365" s="30">
        <f t="shared" si="22"/>
        <v>26254</v>
      </c>
      <c r="D365" s="21"/>
      <c r="E365" s="21"/>
      <c r="F365" s="21"/>
      <c r="G365" s="24">
        <f>'4.pielikums'!B330</f>
        <v>26254</v>
      </c>
    </row>
    <row r="366" spans="1:7" s="1" customFormat="1" ht="47.25">
      <c r="A366" s="28"/>
      <c r="B366" s="110" t="s">
        <v>455</v>
      </c>
      <c r="C366" s="30">
        <f t="shared" si="22"/>
        <v>5100</v>
      </c>
      <c r="D366" s="21"/>
      <c r="E366" s="21"/>
      <c r="F366" s="21"/>
      <c r="G366" s="24">
        <f>'4.pielikums'!B324</f>
        <v>5100</v>
      </c>
    </row>
    <row r="367" spans="1:7" s="1" customFormat="1" ht="15.75">
      <c r="A367" s="28"/>
      <c r="B367" s="100" t="s">
        <v>456</v>
      </c>
      <c r="C367" s="30">
        <f t="shared" si="22"/>
        <v>45246</v>
      </c>
      <c r="D367" s="21"/>
      <c r="E367" s="21"/>
      <c r="F367" s="21"/>
      <c r="G367" s="24">
        <f>'4.pielikums'!B323</f>
        <v>45246</v>
      </c>
    </row>
    <row r="368" spans="1:7" s="1" customFormat="1" ht="31.5">
      <c r="A368" s="28"/>
      <c r="B368" s="100" t="s">
        <v>457</v>
      </c>
      <c r="C368" s="30">
        <f t="shared" si="22"/>
        <v>57744</v>
      </c>
      <c r="D368" s="21"/>
      <c r="E368" s="21"/>
      <c r="F368" s="21"/>
      <c r="G368" s="24">
        <f>'4.pielikums'!B321</f>
        <v>57744</v>
      </c>
    </row>
    <row r="369" spans="1:8" s="1" customFormat="1" ht="31.5">
      <c r="A369" s="28"/>
      <c r="B369" s="100" t="s">
        <v>458</v>
      </c>
      <c r="C369" s="30">
        <f t="shared" si="22"/>
        <v>1200</v>
      </c>
      <c r="D369" s="21"/>
      <c r="E369" s="21"/>
      <c r="F369" s="21"/>
      <c r="G369" s="24">
        <f>'4.pielikums'!B322</f>
        <v>1200</v>
      </c>
    </row>
    <row r="370" spans="1:8" ht="31.5">
      <c r="A370" s="29"/>
      <c r="B370" s="59" t="s">
        <v>196</v>
      </c>
      <c r="C370" s="30">
        <f t="shared" si="22"/>
        <v>421114</v>
      </c>
      <c r="D370" s="21"/>
      <c r="E370" s="21"/>
      <c r="F370" s="21"/>
      <c r="G370" s="24">
        <f>'4.pielikums'!B289</f>
        <v>421114</v>
      </c>
      <c r="H370" s="1"/>
    </row>
    <row r="371" spans="1:8" ht="31.5">
      <c r="A371" s="29"/>
      <c r="B371" s="59" t="s">
        <v>125</v>
      </c>
      <c r="C371" s="30">
        <f t="shared" si="22"/>
        <v>7743</v>
      </c>
      <c r="D371" s="21"/>
      <c r="E371" s="21"/>
      <c r="F371" s="21"/>
      <c r="G371" s="24">
        <f>'4.pielikums'!B288</f>
        <v>7743</v>
      </c>
      <c r="H371" s="1"/>
    </row>
    <row r="372" spans="1:8" ht="15.75">
      <c r="A372" s="31" t="s">
        <v>126</v>
      </c>
      <c r="B372" s="58" t="s">
        <v>127</v>
      </c>
      <c r="C372" s="23">
        <f>C373+C374</f>
        <v>2675180</v>
      </c>
      <c r="D372" s="23">
        <f>D373+D374</f>
        <v>997934</v>
      </c>
      <c r="E372" s="23">
        <f>E373+E374</f>
        <v>819067</v>
      </c>
      <c r="F372" s="23">
        <f>F373+F374</f>
        <v>0</v>
      </c>
      <c r="G372" s="24">
        <f>G373+G374</f>
        <v>4492181</v>
      </c>
      <c r="H372" s="1"/>
    </row>
    <row r="373" spans="1:8" ht="15.75">
      <c r="A373" s="31"/>
      <c r="B373" s="55" t="s">
        <v>72</v>
      </c>
      <c r="C373" s="30">
        <f>G373-D373-E373-F373</f>
        <v>225514</v>
      </c>
      <c r="D373" s="21">
        <f>5000+1500+2800</f>
        <v>9300</v>
      </c>
      <c r="E373" s="21"/>
      <c r="F373" s="21"/>
      <c r="G373" s="24">
        <f>'4.pielikums'!B347</f>
        <v>234814</v>
      </c>
      <c r="H373" s="1"/>
    </row>
    <row r="374" spans="1:8" ht="47.25">
      <c r="A374" s="33"/>
      <c r="B374" s="62" t="s">
        <v>128</v>
      </c>
      <c r="C374" s="23">
        <f>SUM(C375:C411)</f>
        <v>2449666</v>
      </c>
      <c r="D374" s="23">
        <f>SUM(D375:D411)</f>
        <v>988634</v>
      </c>
      <c r="E374" s="23">
        <f>SUM(E375:E411)</f>
        <v>819067</v>
      </c>
      <c r="F374" s="23">
        <f>SUM(F375:F411)</f>
        <v>0</v>
      </c>
      <c r="G374" s="24">
        <f>SUM(G375:G411)</f>
        <v>4257367</v>
      </c>
      <c r="H374" s="1"/>
    </row>
    <row r="375" spans="1:8" ht="15.75">
      <c r="A375" s="31"/>
      <c r="B375" s="55" t="s">
        <v>461</v>
      </c>
      <c r="C375" s="30">
        <f>G375-D375-E375-F375</f>
        <v>402175</v>
      </c>
      <c r="D375" s="21">
        <v>7644</v>
      </c>
      <c r="E375" s="21">
        <v>0</v>
      </c>
      <c r="F375" s="21"/>
      <c r="G375" s="24">
        <f>'4.pielikums'!B348</f>
        <v>409819</v>
      </c>
      <c r="H375" s="1"/>
    </row>
    <row r="376" spans="1:8" s="1" customFormat="1" ht="15.75">
      <c r="A376" s="31"/>
      <c r="B376" s="55" t="s">
        <v>463</v>
      </c>
      <c r="C376" s="30">
        <f t="shared" ref="C376:C411" si="23">G376-D376-E376-F376</f>
        <v>106929</v>
      </c>
      <c r="D376" s="21">
        <v>1135</v>
      </c>
      <c r="E376" s="21">
        <v>17845</v>
      </c>
      <c r="F376" s="21"/>
      <c r="G376" s="24">
        <f>'4.pielikums'!B349</f>
        <v>125909</v>
      </c>
    </row>
    <row r="377" spans="1:8" ht="15.75">
      <c r="A377" s="31"/>
      <c r="B377" s="55" t="s">
        <v>488</v>
      </c>
      <c r="C377" s="30">
        <f t="shared" si="23"/>
        <v>422517</v>
      </c>
      <c r="D377" s="21"/>
      <c r="E377" s="21">
        <v>7483</v>
      </c>
      <c r="F377" s="21"/>
      <c r="G377" s="24">
        <f>'4.pielikums'!B352</f>
        <v>430000</v>
      </c>
      <c r="H377" s="1"/>
    </row>
    <row r="378" spans="1:8" s="1" customFormat="1" ht="15.75">
      <c r="A378" s="31"/>
      <c r="B378" s="111" t="s">
        <v>489</v>
      </c>
      <c r="C378" s="30">
        <f t="shared" si="23"/>
        <v>161876</v>
      </c>
      <c r="D378" s="21"/>
      <c r="E378" s="21"/>
      <c r="F378" s="21"/>
      <c r="G378" s="24">
        <f>'4.pielikums'!B353</f>
        <v>161876</v>
      </c>
    </row>
    <row r="379" spans="1:8" s="1" customFormat="1" ht="15.75">
      <c r="A379" s="31"/>
      <c r="B379" s="111" t="s">
        <v>490</v>
      </c>
      <c r="C379" s="30">
        <f t="shared" si="23"/>
        <v>74801</v>
      </c>
      <c r="D379" s="21"/>
      <c r="E379" s="21"/>
      <c r="F379" s="21"/>
      <c r="G379" s="24">
        <f>'4.pielikums'!B354</f>
        <v>74801</v>
      </c>
    </row>
    <row r="380" spans="1:8" s="1" customFormat="1" ht="15.75">
      <c r="A380" s="31"/>
      <c r="B380" s="111" t="s">
        <v>491</v>
      </c>
      <c r="C380" s="30">
        <f t="shared" si="23"/>
        <v>49591</v>
      </c>
      <c r="D380" s="21"/>
      <c r="E380" s="21"/>
      <c r="F380" s="21"/>
      <c r="G380" s="24">
        <f>'4.pielikums'!B355</f>
        <v>49591</v>
      </c>
    </row>
    <row r="381" spans="1:8" ht="15.75">
      <c r="A381" s="31"/>
      <c r="B381" s="55" t="s">
        <v>74</v>
      </c>
      <c r="C381" s="30">
        <f t="shared" si="23"/>
        <v>12375</v>
      </c>
      <c r="D381" s="21">
        <v>10800</v>
      </c>
      <c r="E381" s="21"/>
      <c r="F381" s="21"/>
      <c r="G381" s="24">
        <f>'4.pielikums'!B350</f>
        <v>23175</v>
      </c>
      <c r="H381" s="1"/>
    </row>
    <row r="382" spans="1:8" ht="15.75">
      <c r="A382" s="31"/>
      <c r="B382" s="55" t="s">
        <v>162</v>
      </c>
      <c r="C382" s="30">
        <f t="shared" si="23"/>
        <v>42132</v>
      </c>
      <c r="D382" s="21">
        <v>9222</v>
      </c>
      <c r="E382" s="21"/>
      <c r="F382" s="21"/>
      <c r="G382" s="24">
        <f>'4.pielikums'!B351</f>
        <v>51354</v>
      </c>
      <c r="H382" s="1"/>
    </row>
    <row r="383" spans="1:8" ht="15.75">
      <c r="A383" s="29"/>
      <c r="B383" s="55" t="s">
        <v>71</v>
      </c>
      <c r="C383" s="30">
        <f t="shared" si="23"/>
        <v>624338</v>
      </c>
      <c r="D383" s="21">
        <f>2700+7000+583952+9000+1000</f>
        <v>603652</v>
      </c>
      <c r="E383" s="21">
        <f>120000+25440</f>
        <v>145440</v>
      </c>
      <c r="F383" s="21"/>
      <c r="G383" s="24">
        <f>'4.pielikums'!B342</f>
        <v>1373430</v>
      </c>
      <c r="H383" s="1"/>
    </row>
    <row r="384" spans="1:8" s="1" customFormat="1" ht="15.75">
      <c r="A384" s="29"/>
      <c r="B384" s="22" t="s">
        <v>282</v>
      </c>
      <c r="C384" s="30">
        <f t="shared" si="23"/>
        <v>94403</v>
      </c>
      <c r="D384" s="21">
        <f>874+134008</f>
        <v>134882</v>
      </c>
      <c r="E384" s="21">
        <v>6360</v>
      </c>
      <c r="F384" s="21"/>
      <c r="G384" s="24">
        <f>'4.pielikums'!B343</f>
        <v>235645</v>
      </c>
    </row>
    <row r="385" spans="1:8" s="1" customFormat="1" ht="15.75">
      <c r="A385" s="29"/>
      <c r="B385" s="111" t="s">
        <v>284</v>
      </c>
      <c r="C385" s="30">
        <f t="shared" si="23"/>
        <v>78634</v>
      </c>
      <c r="D385" s="21">
        <v>98930</v>
      </c>
      <c r="E385" s="21">
        <v>17750</v>
      </c>
      <c r="F385" s="21"/>
      <c r="G385" s="24">
        <f>'4.pielikums'!B344</f>
        <v>195314</v>
      </c>
    </row>
    <row r="386" spans="1:8" s="1" customFormat="1" ht="15.75">
      <c r="A386" s="29"/>
      <c r="B386" s="111" t="s">
        <v>283</v>
      </c>
      <c r="C386" s="30">
        <f t="shared" si="23"/>
        <v>125151</v>
      </c>
      <c r="D386" s="21">
        <v>111030</v>
      </c>
      <c r="E386" s="21">
        <v>18900</v>
      </c>
      <c r="F386" s="21"/>
      <c r="G386" s="24">
        <f>'4.pielikums'!B345</f>
        <v>255081</v>
      </c>
    </row>
    <row r="387" spans="1:8" s="1" customFormat="1" ht="31.5">
      <c r="A387" s="29"/>
      <c r="B387" s="111" t="s">
        <v>492</v>
      </c>
      <c r="C387" s="30">
        <f t="shared" si="23"/>
        <v>2436</v>
      </c>
      <c r="D387" s="21">
        <v>3971</v>
      </c>
      <c r="E387" s="21"/>
      <c r="F387" s="21"/>
      <c r="G387" s="24">
        <f>'4.pielikums'!B358</f>
        <v>6407</v>
      </c>
    </row>
    <row r="388" spans="1:8" s="1" customFormat="1" ht="31.5">
      <c r="A388" s="29"/>
      <c r="B388" s="111" t="s">
        <v>493</v>
      </c>
      <c r="C388" s="30">
        <f t="shared" si="23"/>
        <v>0</v>
      </c>
      <c r="D388" s="21">
        <v>1100</v>
      </c>
      <c r="E388" s="21"/>
      <c r="F388" s="21"/>
      <c r="G388" s="24">
        <f>'4.pielikums'!B359</f>
        <v>1100</v>
      </c>
    </row>
    <row r="389" spans="1:8" s="1" customFormat="1" ht="31.5">
      <c r="A389" s="29"/>
      <c r="B389" s="111" t="s">
        <v>494</v>
      </c>
      <c r="C389" s="30">
        <f t="shared" si="23"/>
        <v>5700</v>
      </c>
      <c r="D389" s="21"/>
      <c r="E389" s="21"/>
      <c r="F389" s="21"/>
      <c r="G389" s="24">
        <f>'4.pielikums'!B360</f>
        <v>5700</v>
      </c>
    </row>
    <row r="390" spans="1:8" s="1" customFormat="1" ht="15.75">
      <c r="A390" s="29"/>
      <c r="B390" s="111" t="s">
        <v>460</v>
      </c>
      <c r="C390" s="30">
        <f t="shared" si="23"/>
        <v>0</v>
      </c>
      <c r="D390" s="21">
        <v>1900</v>
      </c>
      <c r="E390" s="21"/>
      <c r="F390" s="21"/>
      <c r="G390" s="24">
        <f>'4.pielikums'!B346</f>
        <v>1900</v>
      </c>
    </row>
    <row r="391" spans="1:8" s="1" customFormat="1" ht="15.75">
      <c r="A391" s="29"/>
      <c r="B391" s="100" t="s">
        <v>466</v>
      </c>
      <c r="C391" s="30">
        <f t="shared" si="23"/>
        <v>37552</v>
      </c>
      <c r="D391" s="21"/>
      <c r="E391" s="21">
        <v>20050</v>
      </c>
      <c r="F391" s="21"/>
      <c r="G391" s="24">
        <f>'4.pielikums'!B366</f>
        <v>57602</v>
      </c>
    </row>
    <row r="392" spans="1:8" s="1" customFormat="1" ht="15.75">
      <c r="A392" s="29"/>
      <c r="B392" s="100" t="s">
        <v>467</v>
      </c>
      <c r="C392" s="30">
        <f t="shared" si="23"/>
        <v>9964</v>
      </c>
      <c r="D392" s="21">
        <v>1200</v>
      </c>
      <c r="E392" s="21"/>
      <c r="F392" s="21"/>
      <c r="G392" s="24">
        <f>'4.pielikums'!B367</f>
        <v>11164</v>
      </c>
    </row>
    <row r="393" spans="1:8" s="1" customFormat="1" ht="31.5">
      <c r="A393" s="29"/>
      <c r="B393" s="100" t="s">
        <v>468</v>
      </c>
      <c r="C393" s="30">
        <f t="shared" si="23"/>
        <v>3764</v>
      </c>
      <c r="D393" s="21">
        <v>600</v>
      </c>
      <c r="E393" s="21"/>
      <c r="F393" s="21"/>
      <c r="G393" s="24">
        <f>'4.pielikums'!B368</f>
        <v>4364</v>
      </c>
    </row>
    <row r="394" spans="1:8" s="1" customFormat="1" ht="15.75">
      <c r="A394" s="29"/>
      <c r="B394" s="100" t="s">
        <v>469</v>
      </c>
      <c r="C394" s="30">
        <f t="shared" si="23"/>
        <v>300</v>
      </c>
      <c r="D394" s="21"/>
      <c r="E394" s="21"/>
      <c r="F394" s="21"/>
      <c r="G394" s="24">
        <f>'4.pielikums'!B369</f>
        <v>300</v>
      </c>
    </row>
    <row r="395" spans="1:8" s="1" customFormat="1" ht="94.5">
      <c r="A395" s="29"/>
      <c r="B395" s="137" t="s">
        <v>464</v>
      </c>
      <c r="C395" s="30">
        <f t="shared" si="23"/>
        <v>0</v>
      </c>
      <c r="D395" s="21"/>
      <c r="E395" s="21">
        <v>14784</v>
      </c>
      <c r="F395" s="21"/>
      <c r="G395" s="24">
        <f>'4.pielikums'!B370</f>
        <v>14784</v>
      </c>
    </row>
    <row r="396" spans="1:8" s="1" customFormat="1" ht="15.75">
      <c r="A396" s="29"/>
      <c r="B396" s="100" t="s">
        <v>465</v>
      </c>
      <c r="C396" s="30">
        <f t="shared" si="23"/>
        <v>8797</v>
      </c>
      <c r="D396" s="21"/>
      <c r="E396" s="21">
        <v>70440</v>
      </c>
      <c r="F396" s="21"/>
      <c r="G396" s="24">
        <f>'4.pielikums'!B371</f>
        <v>79237</v>
      </c>
    </row>
    <row r="397" spans="1:8" s="1" customFormat="1" ht="15.75">
      <c r="A397" s="29"/>
      <c r="B397" s="101" t="s">
        <v>470</v>
      </c>
      <c r="C397" s="30">
        <f t="shared" si="23"/>
        <v>32844</v>
      </c>
      <c r="D397" s="21"/>
      <c r="E397" s="21"/>
      <c r="F397" s="21"/>
      <c r="G397" s="24">
        <f>'4.pielikums'!B372</f>
        <v>32844</v>
      </c>
    </row>
    <row r="398" spans="1:8" ht="15.75">
      <c r="A398" s="29"/>
      <c r="B398" s="56" t="s">
        <v>136</v>
      </c>
      <c r="C398" s="30">
        <f t="shared" si="23"/>
        <v>1400</v>
      </c>
      <c r="D398" s="21"/>
      <c r="E398" s="21"/>
      <c r="F398" s="21"/>
      <c r="G398" s="24">
        <f>'4.pielikums'!B384</f>
        <v>1400</v>
      </c>
      <c r="H398" s="1"/>
    </row>
    <row r="399" spans="1:8" s="1" customFormat="1" ht="15.75">
      <c r="A399" s="29"/>
      <c r="B399" s="56" t="s">
        <v>153</v>
      </c>
      <c r="C399" s="30">
        <f t="shared" si="23"/>
        <v>500</v>
      </c>
      <c r="D399" s="21"/>
      <c r="E399" s="21"/>
      <c r="F399" s="21"/>
      <c r="G399" s="24">
        <f>'4.pielikums'!B383</f>
        <v>500</v>
      </c>
    </row>
    <row r="400" spans="1:8" ht="31.5">
      <c r="A400" s="29"/>
      <c r="B400" s="59" t="s">
        <v>146</v>
      </c>
      <c r="C400" s="30">
        <f t="shared" si="23"/>
        <v>150</v>
      </c>
      <c r="D400" s="21"/>
      <c r="E400" s="21"/>
      <c r="F400" s="21"/>
      <c r="G400" s="24">
        <f>'4.pielikums'!B385</f>
        <v>150</v>
      </c>
      <c r="H400" s="1"/>
    </row>
    <row r="401" spans="1:8" ht="31.5">
      <c r="A401" s="29"/>
      <c r="B401" s="56" t="s">
        <v>137</v>
      </c>
      <c r="C401" s="30">
        <f t="shared" si="23"/>
        <v>1320</v>
      </c>
      <c r="D401" s="21"/>
      <c r="E401" s="21"/>
      <c r="F401" s="21"/>
      <c r="G401" s="24">
        <f>'4.pielikums'!B386</f>
        <v>1320</v>
      </c>
      <c r="H401" s="1"/>
    </row>
    <row r="402" spans="1:8" ht="31.5">
      <c r="A402" s="29"/>
      <c r="B402" s="56" t="s">
        <v>138</v>
      </c>
      <c r="C402" s="30">
        <f t="shared" si="23"/>
        <v>1400</v>
      </c>
      <c r="D402" s="21"/>
      <c r="E402" s="21"/>
      <c r="F402" s="21"/>
      <c r="G402" s="24">
        <f>'4.pielikums'!B387</f>
        <v>1400</v>
      </c>
      <c r="H402" s="1"/>
    </row>
    <row r="403" spans="1:8" ht="31.5">
      <c r="A403" s="29"/>
      <c r="B403" s="59" t="s">
        <v>129</v>
      </c>
      <c r="C403" s="30">
        <f t="shared" si="23"/>
        <v>0</v>
      </c>
      <c r="D403" s="21"/>
      <c r="E403" s="21">
        <v>179094</v>
      </c>
      <c r="F403" s="21"/>
      <c r="G403" s="24">
        <f>'4.pielikums'!B362</f>
        <v>179094</v>
      </c>
      <c r="H403" s="1"/>
    </row>
    <row r="404" spans="1:8" s="1" customFormat="1" ht="31.5">
      <c r="A404" s="29"/>
      <c r="B404" s="59" t="s">
        <v>206</v>
      </c>
      <c r="C404" s="30">
        <f t="shared" si="23"/>
        <v>29465</v>
      </c>
      <c r="D404" s="21"/>
      <c r="E404" s="21"/>
      <c r="F404" s="21"/>
      <c r="G404" s="24">
        <f>'4.pielikums'!B361</f>
        <v>29465</v>
      </c>
    </row>
    <row r="405" spans="1:8" s="1" customFormat="1" ht="31.5">
      <c r="A405" s="29"/>
      <c r="B405" s="59" t="s">
        <v>207</v>
      </c>
      <c r="C405" s="30">
        <f t="shared" si="23"/>
        <v>49178</v>
      </c>
      <c r="D405" s="21">
        <v>2568</v>
      </c>
      <c r="E405" s="21">
        <v>162587</v>
      </c>
      <c r="F405" s="21"/>
      <c r="G405" s="24">
        <f>'4.pielikums'!B365</f>
        <v>214333</v>
      </c>
    </row>
    <row r="406" spans="1:8" s="1" customFormat="1" ht="31.5">
      <c r="A406" s="29"/>
      <c r="B406" s="59" t="s">
        <v>156</v>
      </c>
      <c r="C406" s="30">
        <f t="shared" si="23"/>
        <v>0</v>
      </c>
      <c r="D406" s="21"/>
      <c r="E406" s="21">
        <v>29850</v>
      </c>
      <c r="F406" s="21"/>
      <c r="G406" s="24">
        <f>'4.pielikums'!B364</f>
        <v>29850</v>
      </c>
    </row>
    <row r="407" spans="1:8" s="1" customFormat="1" ht="74.25" customHeight="1">
      <c r="A407" s="29"/>
      <c r="B407" s="59" t="s">
        <v>174</v>
      </c>
      <c r="C407" s="30">
        <f t="shared" si="23"/>
        <v>55775</v>
      </c>
      <c r="D407" s="21"/>
      <c r="E407" s="21"/>
      <c r="F407" s="30"/>
      <c r="G407" s="24">
        <f>'4.pielikums'!B382</f>
        <v>55775</v>
      </c>
    </row>
    <row r="408" spans="1:8" s="1" customFormat="1" ht="63">
      <c r="A408" s="29"/>
      <c r="B408" s="59" t="s">
        <v>193</v>
      </c>
      <c r="C408" s="30">
        <f t="shared" si="23"/>
        <v>0</v>
      </c>
      <c r="D408" s="21"/>
      <c r="E408" s="30">
        <v>24762</v>
      </c>
      <c r="F408" s="21"/>
      <c r="G408" s="24">
        <f>'4.pielikums'!B356</f>
        <v>24762</v>
      </c>
    </row>
    <row r="409" spans="1:8" s="1" customFormat="1" ht="47.25">
      <c r="A409" s="29"/>
      <c r="B409" s="99" t="s">
        <v>495</v>
      </c>
      <c r="C409" s="30">
        <f t="shared" si="23"/>
        <v>11906</v>
      </c>
      <c r="D409" s="21"/>
      <c r="E409" s="30">
        <v>90892</v>
      </c>
      <c r="F409" s="21"/>
      <c r="G409" s="24">
        <f>'4.pielikums'!B357</f>
        <v>102798</v>
      </c>
    </row>
    <row r="410" spans="1:8" s="1" customFormat="1" ht="15.75">
      <c r="A410" s="29"/>
      <c r="B410" s="59" t="s">
        <v>474</v>
      </c>
      <c r="C410" s="30">
        <f t="shared" si="23"/>
        <v>2061</v>
      </c>
      <c r="D410" s="21"/>
      <c r="E410" s="30"/>
      <c r="F410" s="21"/>
      <c r="G410" s="24">
        <f>'4.pielikums'!B388</f>
        <v>2061</v>
      </c>
    </row>
    <row r="411" spans="1:8" s="1" customFormat="1" ht="31.5">
      <c r="A411" s="29"/>
      <c r="B411" s="56" t="s">
        <v>155</v>
      </c>
      <c r="C411" s="30">
        <f t="shared" si="23"/>
        <v>232</v>
      </c>
      <c r="D411" s="21"/>
      <c r="E411" s="21">
        <v>12830</v>
      </c>
      <c r="F411" s="21"/>
      <c r="G411" s="24">
        <f>'4.pielikums'!B363</f>
        <v>13062</v>
      </c>
    </row>
    <row r="412" spans="1:8" ht="15.75">
      <c r="A412" s="6"/>
      <c r="B412" s="15"/>
      <c r="C412" s="15"/>
      <c r="D412" s="15"/>
      <c r="E412" s="7"/>
      <c r="F412" s="7"/>
    </row>
    <row r="413" spans="1:8" ht="18.75">
      <c r="A413" s="6"/>
      <c r="B413" s="37" t="s">
        <v>498</v>
      </c>
      <c r="C413" s="37"/>
      <c r="D413" s="37"/>
      <c r="E413" s="37"/>
      <c r="F413" s="37"/>
    </row>
    <row r="414" spans="1:8">
      <c r="A414" s="6"/>
      <c r="B414" s="7"/>
      <c r="C414" s="7"/>
      <c r="D414" s="7"/>
      <c r="E414" s="7"/>
      <c r="F414" s="7"/>
    </row>
    <row r="415" spans="1:8">
      <c r="A415" s="4"/>
      <c r="B415" s="4"/>
      <c r="C415" s="4"/>
      <c r="D415" s="4"/>
      <c r="E415" s="4"/>
      <c r="F415" s="4"/>
      <c r="G415" s="3"/>
    </row>
    <row r="416" spans="1:8">
      <c r="A416" s="4"/>
      <c r="B416" s="4"/>
      <c r="C416" s="5"/>
      <c r="D416" s="4"/>
      <c r="E416" s="4"/>
      <c r="F416" s="4"/>
    </row>
    <row r="417" spans="1:6">
      <c r="A417" s="4"/>
      <c r="B417" s="4"/>
      <c r="C417" s="4"/>
      <c r="D417" s="4"/>
      <c r="E417" s="4"/>
      <c r="F417" s="4"/>
    </row>
    <row r="419" spans="1:6">
      <c r="C419" s="3"/>
    </row>
    <row r="420" spans="1:6">
      <c r="C420" s="3"/>
    </row>
    <row r="421" spans="1:6">
      <c r="C421" s="3"/>
    </row>
  </sheetData>
  <mergeCells count="7">
    <mergeCell ref="C4:G4"/>
    <mergeCell ref="G9:G10"/>
    <mergeCell ref="C9:F9"/>
    <mergeCell ref="A9:A10"/>
    <mergeCell ref="B9:B10"/>
    <mergeCell ref="B6:F6"/>
    <mergeCell ref="B7:F7"/>
  </mergeCells>
  <printOptions horizontalCentered="1"/>
  <pageMargins left="0.7" right="0.7" top="0.75" bottom="0.75" header="0.3" footer="0.3"/>
  <pageSetup paperSize="9" scale="9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0"/>
  <sheetViews>
    <sheetView tabSelected="1" zoomScale="96" zoomScaleNormal="96" workbookViewId="0">
      <pane ySplit="8" topLeftCell="A9" activePane="bottomLeft" state="frozen"/>
      <selection pane="bottomLeft" activeCell="E4" sqref="E4:I4"/>
    </sheetView>
  </sheetViews>
  <sheetFormatPr defaultColWidth="9.140625" defaultRowHeight="15"/>
  <cols>
    <col min="1" max="1" width="34.5703125" style="2" customWidth="1"/>
    <col min="2" max="2" width="18.140625" style="2" customWidth="1"/>
    <col min="3" max="3" width="11.28515625" style="2" customWidth="1"/>
    <col min="4" max="4" width="14" style="2" customWidth="1"/>
    <col min="5" max="9" width="16.5703125" style="2" customWidth="1"/>
    <col min="10" max="10" width="10.5703125" style="2" customWidth="1"/>
    <col min="11" max="16384" width="9.140625" style="2"/>
  </cols>
  <sheetData>
    <row r="1" spans="1:11" ht="15.75" customHeight="1">
      <c r="E1" s="17"/>
      <c r="F1" s="17"/>
      <c r="G1" s="8"/>
      <c r="H1" s="17"/>
      <c r="I1" s="140" t="s">
        <v>501</v>
      </c>
    </row>
    <row r="2" spans="1:11" ht="15.75" customHeight="1">
      <c r="E2" s="140"/>
      <c r="F2" s="140"/>
      <c r="G2" s="8"/>
      <c r="H2" s="140"/>
      <c r="I2" s="140" t="s">
        <v>152</v>
      </c>
    </row>
    <row r="3" spans="1:11" ht="15.75" customHeight="1">
      <c r="E3" s="140"/>
      <c r="F3" s="140"/>
      <c r="G3" s="8"/>
      <c r="H3" s="140"/>
      <c r="I3" s="140" t="s">
        <v>500</v>
      </c>
    </row>
    <row r="4" spans="1:11" ht="15.75" customHeight="1">
      <c r="E4" s="144" t="s">
        <v>502</v>
      </c>
      <c r="F4" s="144"/>
      <c r="G4" s="144"/>
      <c r="H4" s="144"/>
      <c r="I4" s="144"/>
    </row>
    <row r="5" spans="1:11" ht="15.75" customHeight="1">
      <c r="E5" s="41"/>
      <c r="F5" s="40"/>
      <c r="G5" s="36"/>
      <c r="H5" s="36"/>
      <c r="I5" s="36"/>
    </row>
    <row r="6" spans="1:11">
      <c r="E6" s="10"/>
      <c r="F6" s="10"/>
      <c r="G6" s="12"/>
      <c r="H6" s="10"/>
      <c r="I6" s="10"/>
    </row>
    <row r="7" spans="1:11" ht="15.75" customHeight="1">
      <c r="A7" s="150" t="s">
        <v>217</v>
      </c>
      <c r="B7" s="150"/>
      <c r="C7" s="150"/>
      <c r="D7" s="150"/>
      <c r="E7" s="150"/>
      <c r="F7" s="150"/>
      <c r="G7" s="150"/>
      <c r="H7" s="150"/>
      <c r="I7" s="150"/>
    </row>
    <row r="9" spans="1:11" ht="15" customHeight="1">
      <c r="A9" s="152" t="s">
        <v>0</v>
      </c>
      <c r="B9" s="154" t="s">
        <v>222</v>
      </c>
      <c r="C9" s="151" t="s">
        <v>230</v>
      </c>
      <c r="D9" s="151"/>
      <c r="E9" s="151"/>
      <c r="F9" s="151"/>
      <c r="G9" s="151"/>
      <c r="H9" s="151"/>
      <c r="I9" s="151"/>
    </row>
    <row r="10" spans="1:11">
      <c r="A10" s="152"/>
      <c r="B10" s="154"/>
      <c r="C10" s="75">
        <v>1000</v>
      </c>
      <c r="D10" s="75">
        <v>2000</v>
      </c>
      <c r="E10" s="75">
        <v>3000</v>
      </c>
      <c r="F10" s="75">
        <v>4000</v>
      </c>
      <c r="G10" s="75">
        <v>5000</v>
      </c>
      <c r="H10" s="48">
        <v>6000</v>
      </c>
      <c r="I10" s="48">
        <v>7000</v>
      </c>
    </row>
    <row r="11" spans="1:11" ht="45">
      <c r="A11" s="153"/>
      <c r="B11" s="154"/>
      <c r="C11" s="48" t="s">
        <v>225</v>
      </c>
      <c r="D11" s="48" t="s">
        <v>226</v>
      </c>
      <c r="E11" s="48" t="s">
        <v>227</v>
      </c>
      <c r="F11" s="48" t="s">
        <v>228</v>
      </c>
      <c r="G11" s="48" t="s">
        <v>229</v>
      </c>
      <c r="H11" s="48" t="s">
        <v>223</v>
      </c>
      <c r="I11" s="48" t="s">
        <v>224</v>
      </c>
    </row>
    <row r="12" spans="1:11" ht="30" customHeight="1">
      <c r="A12" s="46" t="s">
        <v>1</v>
      </c>
      <c r="B12" s="74">
        <f>SUM(C12:I12)</f>
        <v>954682</v>
      </c>
      <c r="C12" s="47">
        <f>550808+230744</f>
        <v>781552</v>
      </c>
      <c r="D12" s="47">
        <f>1800+131330+29500+1000</f>
        <v>163630</v>
      </c>
      <c r="E12" s="47">
        <v>0</v>
      </c>
      <c r="F12" s="47">
        <v>0</v>
      </c>
      <c r="G12" s="47">
        <f>6500+3000</f>
        <v>9500</v>
      </c>
      <c r="H12" s="49">
        <v>0</v>
      </c>
      <c r="I12" s="49">
        <v>0</v>
      </c>
      <c r="J12" s="9"/>
    </row>
    <row r="13" spans="1:11" ht="15" customHeight="1">
      <c r="A13" s="46" t="s">
        <v>2</v>
      </c>
      <c r="B13" s="74">
        <f t="shared" ref="B13:B76" si="0">SUM(C13:I13)</f>
        <v>132830</v>
      </c>
      <c r="C13" s="47">
        <f>104892+27938</f>
        <v>132830</v>
      </c>
      <c r="D13" s="47">
        <v>0</v>
      </c>
      <c r="E13" s="47">
        <v>0</v>
      </c>
      <c r="F13" s="47">
        <v>0</v>
      </c>
      <c r="G13" s="47"/>
      <c r="H13" s="49">
        <v>0</v>
      </c>
      <c r="I13" s="49">
        <v>0</v>
      </c>
    </row>
    <row r="14" spans="1:11" ht="15" customHeight="1">
      <c r="A14" s="77" t="s">
        <v>3</v>
      </c>
      <c r="B14" s="74">
        <f t="shared" si="0"/>
        <v>31142</v>
      </c>
      <c r="C14" s="47">
        <f>20512+6579</f>
        <v>27091</v>
      </c>
      <c r="D14" s="47">
        <f>1705+2245+101</f>
        <v>4051</v>
      </c>
      <c r="E14" s="47">
        <v>0</v>
      </c>
      <c r="F14" s="47">
        <v>0</v>
      </c>
      <c r="G14" s="47"/>
      <c r="H14" s="49">
        <v>0</v>
      </c>
      <c r="I14" s="49">
        <v>0</v>
      </c>
      <c r="J14" s="45"/>
      <c r="K14" s="11"/>
    </row>
    <row r="15" spans="1:11" ht="15" customHeight="1">
      <c r="A15" s="77" t="s">
        <v>234</v>
      </c>
      <c r="B15" s="74">
        <f t="shared" si="0"/>
        <v>244880</v>
      </c>
      <c r="C15" s="47">
        <v>209696</v>
      </c>
      <c r="D15" s="47">
        <v>31671</v>
      </c>
      <c r="E15" s="47"/>
      <c r="F15" s="47"/>
      <c r="G15" s="47">
        <v>700</v>
      </c>
      <c r="H15" s="49">
        <v>2212</v>
      </c>
      <c r="I15" s="49">
        <v>601</v>
      </c>
      <c r="J15" s="45"/>
      <c r="K15" s="11"/>
    </row>
    <row r="16" spans="1:11" ht="30" customHeight="1">
      <c r="A16" s="77" t="s">
        <v>4</v>
      </c>
      <c r="B16" s="74">
        <f t="shared" si="0"/>
        <v>44748</v>
      </c>
      <c r="C16" s="47">
        <f>27645+8416</f>
        <v>36061</v>
      </c>
      <c r="D16" s="47">
        <f>120+4430+3832+305</f>
        <v>8687</v>
      </c>
      <c r="E16" s="47">
        <v>0</v>
      </c>
      <c r="F16" s="47">
        <v>0</v>
      </c>
      <c r="G16" s="47"/>
      <c r="H16" s="49">
        <v>0</v>
      </c>
      <c r="I16" s="49">
        <v>0</v>
      </c>
      <c r="J16" s="45"/>
      <c r="K16" s="11"/>
    </row>
    <row r="17" spans="1:12" ht="30" customHeight="1">
      <c r="A17" s="77" t="s">
        <v>5</v>
      </c>
      <c r="B17" s="74">
        <f t="shared" si="0"/>
        <v>72513</v>
      </c>
      <c r="C17" s="47">
        <f>33750+10181</f>
        <v>43931</v>
      </c>
      <c r="D17" s="47">
        <f>120+21652+6690+120</f>
        <v>28582</v>
      </c>
      <c r="E17" s="47">
        <v>0</v>
      </c>
      <c r="F17" s="47">
        <v>0</v>
      </c>
      <c r="G17" s="47"/>
      <c r="H17" s="49">
        <v>0</v>
      </c>
      <c r="I17" s="49">
        <v>0</v>
      </c>
    </row>
    <row r="18" spans="1:12" ht="30" customHeight="1">
      <c r="A18" s="77" t="s">
        <v>6</v>
      </c>
      <c r="B18" s="74">
        <f t="shared" si="0"/>
        <v>40725</v>
      </c>
      <c r="C18" s="47">
        <f>22062+7006</f>
        <v>29068</v>
      </c>
      <c r="D18" s="47">
        <f>8240+3417</f>
        <v>11657</v>
      </c>
      <c r="E18" s="47">
        <v>0</v>
      </c>
      <c r="F18" s="47">
        <v>0</v>
      </c>
      <c r="G18" s="47"/>
      <c r="H18" s="49">
        <v>0</v>
      </c>
      <c r="I18" s="49">
        <v>0</v>
      </c>
    </row>
    <row r="19" spans="1:12" ht="30" customHeight="1">
      <c r="A19" s="77" t="s">
        <v>7</v>
      </c>
      <c r="B19" s="74">
        <f t="shared" si="0"/>
        <v>54755</v>
      </c>
      <c r="C19" s="47">
        <f>29117+8824</f>
        <v>37941</v>
      </c>
      <c r="D19" s="47">
        <f>80+9099+7479+103</f>
        <v>16761</v>
      </c>
      <c r="E19" s="47">
        <v>0</v>
      </c>
      <c r="F19" s="47">
        <v>0</v>
      </c>
      <c r="G19" s="47">
        <v>53</v>
      </c>
      <c r="H19" s="49">
        <v>0</v>
      </c>
      <c r="I19" s="49">
        <v>0</v>
      </c>
    </row>
    <row r="20" spans="1:12" ht="15" customHeight="1">
      <c r="A20" s="77" t="s">
        <v>8</v>
      </c>
      <c r="B20" s="74">
        <f t="shared" si="0"/>
        <v>52160</v>
      </c>
      <c r="C20" s="47">
        <f>28974+8811</f>
        <v>37785</v>
      </c>
      <c r="D20" s="47">
        <f>120+7812+6133+274</f>
        <v>14339</v>
      </c>
      <c r="E20" s="47">
        <v>0</v>
      </c>
      <c r="F20" s="47">
        <v>0</v>
      </c>
      <c r="G20" s="47">
        <v>36</v>
      </c>
      <c r="H20" s="49">
        <v>0</v>
      </c>
      <c r="I20" s="49">
        <v>0</v>
      </c>
    </row>
    <row r="21" spans="1:12" ht="28.5" customHeight="1">
      <c r="A21" s="78" t="s">
        <v>235</v>
      </c>
      <c r="B21" s="74">
        <f t="shared" si="0"/>
        <v>40683</v>
      </c>
      <c r="C21" s="47">
        <v>30442</v>
      </c>
      <c r="D21" s="47">
        <v>9241</v>
      </c>
      <c r="E21" s="47"/>
      <c r="F21" s="47"/>
      <c r="G21" s="47">
        <v>1000</v>
      </c>
      <c r="H21" s="49"/>
      <c r="I21" s="49"/>
    </row>
    <row r="22" spans="1:12" ht="28.5" customHeight="1">
      <c r="A22" s="78" t="s">
        <v>311</v>
      </c>
      <c r="B22" s="74">
        <f t="shared" si="0"/>
        <v>2275</v>
      </c>
      <c r="C22" s="47">
        <v>0</v>
      </c>
      <c r="D22" s="47">
        <v>2275</v>
      </c>
      <c r="E22" s="47">
        <v>0</v>
      </c>
      <c r="F22" s="47">
        <v>0</v>
      </c>
      <c r="G22" s="47">
        <v>0</v>
      </c>
      <c r="H22" s="49">
        <v>0</v>
      </c>
      <c r="I22" s="49">
        <v>0</v>
      </c>
    </row>
    <row r="23" spans="1:12" ht="15" customHeight="1">
      <c r="A23" s="77" t="s">
        <v>9</v>
      </c>
      <c r="B23" s="74">
        <f t="shared" si="0"/>
        <v>39444</v>
      </c>
      <c r="C23" s="47">
        <f>20764+6466</f>
        <v>27230</v>
      </c>
      <c r="D23" s="47">
        <f>48+6228+5662+191</f>
        <v>12129</v>
      </c>
      <c r="E23" s="47">
        <v>0</v>
      </c>
      <c r="F23" s="47">
        <v>0</v>
      </c>
      <c r="G23" s="47">
        <v>85</v>
      </c>
      <c r="H23" s="49">
        <v>0</v>
      </c>
      <c r="I23" s="49">
        <v>0</v>
      </c>
      <c r="J23" s="45"/>
      <c r="K23" s="11"/>
    </row>
    <row r="24" spans="1:12" ht="30" customHeight="1">
      <c r="A24" s="78" t="s">
        <v>236</v>
      </c>
      <c r="B24" s="74">
        <f t="shared" si="0"/>
        <v>33632</v>
      </c>
      <c r="C24" s="47">
        <v>29046</v>
      </c>
      <c r="D24" s="47">
        <v>4586</v>
      </c>
      <c r="E24" s="47"/>
      <c r="F24" s="47"/>
      <c r="G24" s="47"/>
      <c r="H24" s="49"/>
      <c r="I24" s="49"/>
    </row>
    <row r="25" spans="1:12" ht="30" customHeight="1">
      <c r="A25" s="78" t="s">
        <v>312</v>
      </c>
      <c r="B25" s="74">
        <f t="shared" si="0"/>
        <v>282028</v>
      </c>
      <c r="C25" s="47">
        <v>236348</v>
      </c>
      <c r="D25" s="47">
        <v>43680</v>
      </c>
      <c r="E25" s="47"/>
      <c r="F25" s="47"/>
      <c r="G25" s="47">
        <v>2000</v>
      </c>
      <c r="H25" s="49"/>
      <c r="I25" s="49"/>
    </row>
    <row r="26" spans="1:12" ht="30" customHeight="1">
      <c r="A26" s="78" t="s">
        <v>237</v>
      </c>
      <c r="B26" s="74">
        <f t="shared" si="0"/>
        <v>19901</v>
      </c>
      <c r="C26" s="47">
        <v>15001</v>
      </c>
      <c r="D26" s="47">
        <v>4900</v>
      </c>
      <c r="E26" s="47"/>
      <c r="F26" s="47"/>
      <c r="G26" s="47"/>
      <c r="H26" s="49"/>
      <c r="I26" s="49"/>
      <c r="J26" s="45"/>
      <c r="K26" s="11"/>
      <c r="L26" s="11"/>
    </row>
    <row r="27" spans="1:12" ht="33" customHeight="1">
      <c r="A27" s="78" t="s">
        <v>238</v>
      </c>
      <c r="B27" s="74">
        <f t="shared" si="0"/>
        <v>40712</v>
      </c>
      <c r="C27" s="47">
        <v>34623</v>
      </c>
      <c r="D27" s="47">
        <v>6089</v>
      </c>
      <c r="E27" s="47"/>
      <c r="F27" s="47"/>
      <c r="G27" s="47"/>
      <c r="H27" s="49"/>
      <c r="I27" s="49"/>
      <c r="K27" s="11"/>
      <c r="L27" s="11"/>
    </row>
    <row r="28" spans="1:12" ht="30" customHeight="1">
      <c r="A28" s="77" t="s">
        <v>10</v>
      </c>
      <c r="B28" s="74">
        <f t="shared" si="0"/>
        <v>68471</v>
      </c>
      <c r="C28" s="47">
        <f>38572+11634</f>
        <v>50206</v>
      </c>
      <c r="D28" s="47">
        <f>96+11409+6360+400</f>
        <v>18265</v>
      </c>
      <c r="E28" s="47">
        <v>0</v>
      </c>
      <c r="F28" s="47">
        <v>0</v>
      </c>
      <c r="G28" s="47"/>
      <c r="H28" s="49">
        <v>0</v>
      </c>
      <c r="I28" s="49">
        <v>0</v>
      </c>
      <c r="K28" s="11"/>
      <c r="L28" s="11"/>
    </row>
    <row r="29" spans="1:12" ht="15" customHeight="1">
      <c r="A29" s="77" t="s">
        <v>11</v>
      </c>
      <c r="B29" s="74">
        <f t="shared" si="0"/>
        <v>48227</v>
      </c>
      <c r="C29" s="47">
        <f>26658+8169</f>
        <v>34827</v>
      </c>
      <c r="D29" s="47">
        <f>60+5412+7440+488</f>
        <v>13400</v>
      </c>
      <c r="E29" s="47">
        <v>0</v>
      </c>
      <c r="F29" s="47">
        <v>0</v>
      </c>
      <c r="G29" s="47">
        <v>0</v>
      </c>
      <c r="H29" s="49">
        <v>0</v>
      </c>
      <c r="I29" s="49">
        <v>0</v>
      </c>
      <c r="K29" s="11"/>
      <c r="L29" s="11"/>
    </row>
    <row r="30" spans="1:12" ht="15" customHeight="1">
      <c r="A30" s="78" t="s">
        <v>239</v>
      </c>
      <c r="B30" s="74">
        <f t="shared" si="0"/>
        <v>33522</v>
      </c>
      <c r="C30" s="47">
        <v>28320</v>
      </c>
      <c r="D30" s="47">
        <v>5202</v>
      </c>
      <c r="E30" s="47"/>
      <c r="F30" s="47"/>
      <c r="G30" s="47"/>
      <c r="H30" s="49"/>
      <c r="I30" s="49"/>
      <c r="K30" s="11"/>
      <c r="L30" s="11"/>
    </row>
    <row r="31" spans="1:12" ht="15" customHeight="1">
      <c r="A31" s="77" t="s">
        <v>12</v>
      </c>
      <c r="B31" s="74">
        <f t="shared" si="0"/>
        <v>57997</v>
      </c>
      <c r="C31" s="47">
        <f>30649+9316</f>
        <v>39965</v>
      </c>
      <c r="D31" s="47">
        <f>104+7762+9866+300</f>
        <v>18032</v>
      </c>
      <c r="E31" s="47">
        <v>0</v>
      </c>
      <c r="F31" s="47">
        <v>0</v>
      </c>
      <c r="G31" s="47"/>
      <c r="H31" s="49">
        <v>0</v>
      </c>
      <c r="I31" s="49">
        <v>0</v>
      </c>
      <c r="K31" s="11"/>
      <c r="L31" s="11"/>
    </row>
    <row r="32" spans="1:12" ht="15" customHeight="1">
      <c r="A32" s="78" t="s">
        <v>231</v>
      </c>
      <c r="B32" s="74">
        <f t="shared" si="0"/>
        <v>551488</v>
      </c>
      <c r="C32" s="47">
        <v>465535</v>
      </c>
      <c r="D32" s="47">
        <v>84282</v>
      </c>
      <c r="E32" s="47"/>
      <c r="F32" s="47"/>
      <c r="G32" s="47">
        <v>700</v>
      </c>
      <c r="H32" s="49"/>
      <c r="I32" s="49">
        <v>971</v>
      </c>
      <c r="K32" s="11"/>
      <c r="L32" s="11"/>
    </row>
    <row r="33" spans="1:12" ht="15" customHeight="1">
      <c r="A33" s="78" t="s">
        <v>240</v>
      </c>
      <c r="B33" s="74">
        <f t="shared" si="0"/>
        <v>33198</v>
      </c>
      <c r="C33" s="47">
        <v>27652</v>
      </c>
      <c r="D33" s="47">
        <v>5546</v>
      </c>
      <c r="E33" s="47"/>
      <c r="F33" s="47"/>
      <c r="G33" s="47"/>
      <c r="H33" s="49"/>
      <c r="I33" s="49"/>
      <c r="J33" s="45"/>
      <c r="K33" s="11"/>
      <c r="L33" s="11"/>
    </row>
    <row r="34" spans="1:12" ht="15" customHeight="1">
      <c r="A34" s="78" t="s">
        <v>476</v>
      </c>
      <c r="B34" s="74">
        <f t="shared" si="0"/>
        <v>89517</v>
      </c>
      <c r="C34" s="47">
        <v>58428</v>
      </c>
      <c r="D34" s="47">
        <v>9009</v>
      </c>
      <c r="E34" s="47"/>
      <c r="F34" s="47"/>
      <c r="G34" s="47">
        <v>22080</v>
      </c>
      <c r="H34" s="49"/>
      <c r="I34" s="49"/>
      <c r="J34" s="45"/>
      <c r="K34" s="11"/>
      <c r="L34" s="11"/>
    </row>
    <row r="35" spans="1:12" ht="48.75" customHeight="1">
      <c r="A35" s="77" t="s">
        <v>232</v>
      </c>
      <c r="B35" s="74">
        <f t="shared" si="0"/>
        <v>85085</v>
      </c>
      <c r="C35" s="47">
        <f>26520+7622+14374+6000+10645</f>
        <v>65161</v>
      </c>
      <c r="D35" s="47">
        <f>48+8673+1820+1615+900+1452</f>
        <v>14508</v>
      </c>
      <c r="E35" s="47"/>
      <c r="F35" s="47"/>
      <c r="G35" s="47">
        <v>2124</v>
      </c>
      <c r="H35" s="49"/>
      <c r="I35" s="49">
        <f>120+2282+890</f>
        <v>3292</v>
      </c>
      <c r="K35" s="11"/>
      <c r="L35" s="11"/>
    </row>
    <row r="36" spans="1:12" ht="31.5" customHeight="1">
      <c r="A36" s="77" t="s">
        <v>13</v>
      </c>
      <c r="B36" s="74">
        <f t="shared" si="0"/>
        <v>35683</v>
      </c>
      <c r="C36" s="47">
        <v>0</v>
      </c>
      <c r="D36" s="47">
        <f>5000+25908+4775</f>
        <v>35683</v>
      </c>
      <c r="E36" s="47">
        <v>0</v>
      </c>
      <c r="F36" s="47">
        <v>0</v>
      </c>
      <c r="G36" s="47"/>
      <c r="H36" s="49">
        <v>0</v>
      </c>
      <c r="I36" s="49">
        <v>0</v>
      </c>
      <c r="J36" s="45"/>
      <c r="K36" s="11"/>
      <c r="L36" s="11"/>
    </row>
    <row r="37" spans="1:12" ht="15" customHeight="1">
      <c r="A37" s="77" t="s">
        <v>14</v>
      </c>
      <c r="B37" s="74">
        <f t="shared" si="0"/>
        <v>32021</v>
      </c>
      <c r="C37" s="47">
        <v>0</v>
      </c>
      <c r="D37" s="47">
        <f>3673+28348</f>
        <v>32021</v>
      </c>
      <c r="E37" s="47">
        <v>0</v>
      </c>
      <c r="F37" s="47">
        <v>0</v>
      </c>
      <c r="G37" s="47"/>
      <c r="H37" s="49">
        <v>0</v>
      </c>
      <c r="I37" s="49">
        <v>0</v>
      </c>
      <c r="K37" s="11"/>
      <c r="L37" s="11"/>
    </row>
    <row r="38" spans="1:12" ht="15" customHeight="1">
      <c r="A38" s="77" t="s">
        <v>233</v>
      </c>
      <c r="B38" s="74">
        <f t="shared" si="0"/>
        <v>54311</v>
      </c>
      <c r="C38" s="47">
        <v>0</v>
      </c>
      <c r="D38" s="47">
        <f>19286+5906+1260+11800</f>
        <v>38252</v>
      </c>
      <c r="E38" s="47">
        <v>0</v>
      </c>
      <c r="F38" s="47">
        <f>5124+5406+321+5208</f>
        <v>16059</v>
      </c>
      <c r="G38" s="47"/>
      <c r="H38" s="49">
        <v>0</v>
      </c>
      <c r="I38" s="49">
        <v>0</v>
      </c>
      <c r="K38" s="11"/>
      <c r="L38" s="11"/>
    </row>
    <row r="39" spans="1:12" ht="15" customHeight="1">
      <c r="A39" s="77" t="s">
        <v>309</v>
      </c>
      <c r="B39" s="74">
        <f t="shared" si="0"/>
        <v>63660</v>
      </c>
      <c r="C39" s="47">
        <f>25580+6036+979</f>
        <v>32595</v>
      </c>
      <c r="D39" s="47">
        <f>71+3944+3373+2211</f>
        <v>9599</v>
      </c>
      <c r="E39" s="47"/>
      <c r="F39" s="47"/>
      <c r="G39" s="47"/>
      <c r="H39" s="49"/>
      <c r="I39" s="49">
        <f>14872+6594</f>
        <v>21466</v>
      </c>
      <c r="K39" s="11"/>
      <c r="L39" s="11"/>
    </row>
    <row r="40" spans="1:12" ht="59.25" customHeight="1">
      <c r="A40" s="91" t="s">
        <v>219</v>
      </c>
      <c r="B40" s="74">
        <f t="shared" si="0"/>
        <v>18750</v>
      </c>
      <c r="C40" s="47">
        <f>7727+1823</f>
        <v>9550</v>
      </c>
      <c r="D40" s="47"/>
      <c r="E40" s="47"/>
      <c r="F40" s="47"/>
      <c r="G40" s="47">
        <v>9200</v>
      </c>
      <c r="H40" s="49"/>
      <c r="I40" s="49"/>
      <c r="K40" s="11"/>
      <c r="L40" s="11"/>
    </row>
    <row r="41" spans="1:12" ht="83.25" customHeight="1">
      <c r="A41" s="91" t="s">
        <v>220</v>
      </c>
      <c r="B41" s="74">
        <f t="shared" si="0"/>
        <v>36200</v>
      </c>
      <c r="C41" s="47">
        <f>4652+1098</f>
        <v>5750</v>
      </c>
      <c r="D41" s="47">
        <v>200</v>
      </c>
      <c r="E41" s="47"/>
      <c r="F41" s="47"/>
      <c r="G41" s="47">
        <v>30250</v>
      </c>
      <c r="H41" s="49"/>
      <c r="I41" s="49"/>
      <c r="K41" s="11"/>
      <c r="L41" s="11"/>
    </row>
    <row r="42" spans="1:12" ht="15" customHeight="1">
      <c r="A42" s="66" t="s">
        <v>15</v>
      </c>
      <c r="B42" s="74">
        <f t="shared" si="0"/>
        <v>91852</v>
      </c>
      <c r="C42" s="47">
        <f>31690+9524+8745+17992</f>
        <v>67951</v>
      </c>
      <c r="D42" s="47">
        <f>120+15627+6495+365+1144</f>
        <v>23751</v>
      </c>
      <c r="E42" s="47">
        <v>0</v>
      </c>
      <c r="F42" s="47">
        <v>0</v>
      </c>
      <c r="G42" s="47"/>
      <c r="H42" s="49">
        <f>150</f>
        <v>150</v>
      </c>
      <c r="I42" s="49">
        <v>0</v>
      </c>
      <c r="K42" s="11"/>
      <c r="L42" s="11"/>
    </row>
    <row r="43" spans="1:12">
      <c r="A43" s="66" t="s">
        <v>16</v>
      </c>
      <c r="B43" s="74">
        <f t="shared" si="0"/>
        <v>175394</v>
      </c>
      <c r="C43" s="47">
        <f>80062+27090+12211+19467</f>
        <v>138830</v>
      </c>
      <c r="D43" s="47">
        <f>252+5428+7500+150+1300+3708</f>
        <v>18338</v>
      </c>
      <c r="E43" s="47">
        <v>0</v>
      </c>
      <c r="F43" s="47">
        <v>0</v>
      </c>
      <c r="G43" s="47">
        <f>1035+5191+12000</f>
        <v>18226</v>
      </c>
      <c r="H43" s="49">
        <v>0</v>
      </c>
      <c r="I43" s="49">
        <v>0</v>
      </c>
    </row>
    <row r="44" spans="1:12" ht="15" customHeight="1">
      <c r="A44" s="67" t="s">
        <v>141</v>
      </c>
      <c r="B44" s="74">
        <f t="shared" si="0"/>
        <v>49135</v>
      </c>
      <c r="C44" s="47">
        <f>36922+10178</f>
        <v>47100</v>
      </c>
      <c r="D44" s="47">
        <f>1390+645</f>
        <v>2035</v>
      </c>
      <c r="E44" s="47"/>
      <c r="F44" s="47"/>
      <c r="G44" s="47"/>
      <c r="H44" s="49"/>
      <c r="I44" s="49"/>
      <c r="K44" s="13"/>
    </row>
    <row r="45" spans="1:12" ht="31.5" customHeight="1">
      <c r="A45" s="103" t="s">
        <v>475</v>
      </c>
      <c r="B45" s="74">
        <f t="shared" si="0"/>
        <v>600</v>
      </c>
      <c r="C45" s="47"/>
      <c r="D45" s="47">
        <v>600</v>
      </c>
      <c r="E45" s="47"/>
      <c r="F45" s="47"/>
      <c r="G45" s="47"/>
      <c r="H45" s="49"/>
      <c r="I45" s="49"/>
      <c r="K45" s="13"/>
    </row>
    <row r="46" spans="1:12" ht="15" customHeight="1">
      <c r="A46" s="66" t="s">
        <v>17</v>
      </c>
      <c r="B46" s="74">
        <f t="shared" si="0"/>
        <v>98077</v>
      </c>
      <c r="C46" s="47">
        <f>31914+9366+8745+23798</f>
        <v>73823</v>
      </c>
      <c r="D46" s="47">
        <f>236+18366+2720+30+926+250+1270</f>
        <v>23798</v>
      </c>
      <c r="E46" s="47">
        <v>0</v>
      </c>
      <c r="F46" s="47">
        <v>0</v>
      </c>
      <c r="G46" s="47">
        <v>0</v>
      </c>
      <c r="H46" s="49">
        <v>0</v>
      </c>
      <c r="I46" s="49">
        <v>456</v>
      </c>
      <c r="K46" s="13"/>
    </row>
    <row r="47" spans="1:12" ht="39" customHeight="1">
      <c r="A47" s="66" t="s">
        <v>18</v>
      </c>
      <c r="B47" s="74">
        <f t="shared" si="0"/>
        <v>59000</v>
      </c>
      <c r="C47" s="47">
        <v>0</v>
      </c>
      <c r="D47" s="47">
        <v>59000</v>
      </c>
      <c r="E47" s="47">
        <v>0</v>
      </c>
      <c r="F47" s="47">
        <v>0</v>
      </c>
      <c r="G47" s="47"/>
      <c r="H47" s="49">
        <v>0</v>
      </c>
      <c r="I47" s="49">
        <v>0</v>
      </c>
      <c r="K47" s="11"/>
    </row>
    <row r="48" spans="1:12" ht="28.5" customHeight="1">
      <c r="A48" s="66" t="s">
        <v>158</v>
      </c>
      <c r="B48" s="74">
        <f t="shared" si="0"/>
        <v>3324</v>
      </c>
      <c r="C48" s="47">
        <v>0</v>
      </c>
      <c r="D48" s="47">
        <v>706</v>
      </c>
      <c r="E48" s="47">
        <v>0</v>
      </c>
      <c r="F48" s="47">
        <v>0</v>
      </c>
      <c r="G48" s="47"/>
      <c r="H48" s="49">
        <v>0</v>
      </c>
      <c r="I48" s="49">
        <v>2618</v>
      </c>
      <c r="K48" s="11"/>
    </row>
    <row r="49" spans="1:11" ht="34.5" customHeight="1">
      <c r="A49" s="66" t="s">
        <v>161</v>
      </c>
      <c r="B49" s="74">
        <f t="shared" si="0"/>
        <v>62386</v>
      </c>
      <c r="C49" s="47">
        <f>27840+8101</f>
        <v>35941</v>
      </c>
      <c r="D49" s="47">
        <f>344+19843+4570</f>
        <v>24757</v>
      </c>
      <c r="E49" s="47">
        <v>1688</v>
      </c>
      <c r="F49" s="47">
        <v>0</v>
      </c>
      <c r="G49" s="47">
        <v>0</v>
      </c>
      <c r="H49" s="47">
        <v>0</v>
      </c>
      <c r="I49" s="47">
        <v>0</v>
      </c>
      <c r="K49" s="11"/>
    </row>
    <row r="50" spans="1:11" s="82" customFormat="1" ht="30" customHeight="1">
      <c r="A50" s="84" t="s">
        <v>241</v>
      </c>
      <c r="B50" s="74">
        <f t="shared" si="0"/>
        <v>3580</v>
      </c>
      <c r="C50" s="47">
        <v>3580</v>
      </c>
      <c r="D50" s="47">
        <v>0</v>
      </c>
      <c r="E50" s="47">
        <v>0</v>
      </c>
      <c r="F50" s="47">
        <v>0</v>
      </c>
      <c r="G50" s="47">
        <v>0</v>
      </c>
      <c r="H50" s="49">
        <v>0</v>
      </c>
      <c r="I50" s="49">
        <v>0</v>
      </c>
      <c r="J50" s="83"/>
      <c r="K50" s="83"/>
    </row>
    <row r="51" spans="1:11" s="82" customFormat="1" ht="30" customHeight="1">
      <c r="A51" s="84" t="s">
        <v>242</v>
      </c>
      <c r="B51" s="74">
        <f t="shared" si="0"/>
        <v>9152</v>
      </c>
      <c r="C51" s="47">
        <v>7682</v>
      </c>
      <c r="D51" s="47">
        <v>1470</v>
      </c>
      <c r="E51" s="47">
        <v>0</v>
      </c>
      <c r="F51" s="47">
        <v>0</v>
      </c>
      <c r="G51" s="47">
        <v>0</v>
      </c>
      <c r="H51" s="49">
        <v>0</v>
      </c>
      <c r="I51" s="49">
        <v>0</v>
      </c>
      <c r="J51" s="83"/>
      <c r="K51" s="83"/>
    </row>
    <row r="52" spans="1:11" s="82" customFormat="1" ht="55.5" customHeight="1">
      <c r="A52" s="84" t="s">
        <v>323</v>
      </c>
      <c r="B52" s="74">
        <f t="shared" si="0"/>
        <v>6470</v>
      </c>
      <c r="C52" s="47">
        <f>2551</f>
        <v>2551</v>
      </c>
      <c r="D52" s="47">
        <v>150</v>
      </c>
      <c r="E52" s="47">
        <v>3769</v>
      </c>
      <c r="F52" s="47">
        <v>0</v>
      </c>
      <c r="G52" s="47">
        <v>0</v>
      </c>
      <c r="H52" s="49">
        <v>0</v>
      </c>
      <c r="I52" s="49">
        <v>0</v>
      </c>
      <c r="J52" s="83"/>
      <c r="K52" s="83"/>
    </row>
    <row r="53" spans="1:11" s="82" customFormat="1" ht="30.75" customHeight="1">
      <c r="A53" s="84" t="s">
        <v>324</v>
      </c>
      <c r="B53" s="74">
        <f t="shared" si="0"/>
        <v>16000</v>
      </c>
      <c r="C53" s="47">
        <v>0</v>
      </c>
      <c r="D53" s="47">
        <v>0</v>
      </c>
      <c r="E53" s="47">
        <v>16000</v>
      </c>
      <c r="F53" s="47">
        <v>0</v>
      </c>
      <c r="G53" s="47">
        <v>0</v>
      </c>
      <c r="H53" s="49">
        <v>0</v>
      </c>
      <c r="I53" s="49">
        <v>0</v>
      </c>
      <c r="J53" s="83"/>
      <c r="K53" s="83"/>
    </row>
    <row r="54" spans="1:11" s="82" customFormat="1" ht="30.75" customHeight="1">
      <c r="A54" s="84" t="s">
        <v>326</v>
      </c>
      <c r="B54" s="74">
        <f t="shared" si="0"/>
        <v>8000</v>
      </c>
      <c r="C54" s="47"/>
      <c r="D54" s="47"/>
      <c r="E54" s="47">
        <v>8000</v>
      </c>
      <c r="F54" s="47"/>
      <c r="G54" s="47"/>
      <c r="H54" s="49"/>
      <c r="I54" s="49"/>
      <c r="J54" s="83"/>
      <c r="K54" s="83"/>
    </row>
    <row r="55" spans="1:11" s="82" customFormat="1" ht="30.75" customHeight="1">
      <c r="A55" s="104" t="s">
        <v>327</v>
      </c>
      <c r="B55" s="74">
        <f t="shared" si="0"/>
        <v>5000</v>
      </c>
      <c r="C55" s="47"/>
      <c r="D55" s="47"/>
      <c r="E55" s="47">
        <v>5000</v>
      </c>
      <c r="F55" s="47"/>
      <c r="G55" s="47"/>
      <c r="H55" s="49"/>
      <c r="I55" s="49"/>
      <c r="J55" s="83"/>
      <c r="K55" s="83"/>
    </row>
    <row r="56" spans="1:11" s="82" customFormat="1" ht="30.75" customHeight="1">
      <c r="A56" s="85" t="s">
        <v>325</v>
      </c>
      <c r="B56" s="74">
        <f t="shared" si="0"/>
        <v>4710</v>
      </c>
      <c r="C56" s="107">
        <v>4560</v>
      </c>
      <c r="D56" s="107">
        <v>150</v>
      </c>
      <c r="E56" s="108"/>
      <c r="F56" s="108"/>
      <c r="G56" s="108"/>
      <c r="H56" s="108"/>
      <c r="I56" s="108"/>
      <c r="J56" s="83"/>
      <c r="K56" s="83"/>
    </row>
    <row r="57" spans="1:11" ht="39.75" customHeight="1">
      <c r="A57" s="85" t="s">
        <v>315</v>
      </c>
      <c r="B57" s="74">
        <f t="shared" si="0"/>
        <v>9540</v>
      </c>
      <c r="C57" s="80">
        <v>5463</v>
      </c>
      <c r="D57" s="80">
        <v>4077</v>
      </c>
      <c r="E57" s="79"/>
      <c r="F57" s="79"/>
      <c r="G57" s="79"/>
      <c r="H57" s="79"/>
      <c r="I57" s="79"/>
      <c r="K57" s="11"/>
    </row>
    <row r="58" spans="1:11" ht="34.5" customHeight="1">
      <c r="A58" s="84" t="s">
        <v>328</v>
      </c>
      <c r="B58" s="74">
        <f t="shared" si="0"/>
        <v>6000</v>
      </c>
      <c r="C58" s="47"/>
      <c r="D58" s="47">
        <v>6000</v>
      </c>
      <c r="E58" s="47"/>
      <c r="F58" s="47"/>
      <c r="G58" s="47"/>
      <c r="H58" s="49"/>
      <c r="I58" s="49"/>
      <c r="K58" s="11"/>
    </row>
    <row r="59" spans="1:11" ht="34.5" customHeight="1">
      <c r="A59" s="84" t="s">
        <v>244</v>
      </c>
      <c r="B59" s="74">
        <f t="shared" si="0"/>
        <v>202616</v>
      </c>
      <c r="C59" s="47">
        <v>39435</v>
      </c>
      <c r="D59" s="47">
        <v>163181</v>
      </c>
      <c r="E59" s="47">
        <v>0</v>
      </c>
      <c r="F59" s="47">
        <v>0</v>
      </c>
      <c r="G59" s="47">
        <v>0</v>
      </c>
      <c r="H59" s="49">
        <v>0</v>
      </c>
      <c r="I59" s="49">
        <v>0</v>
      </c>
      <c r="K59" s="11"/>
    </row>
    <row r="60" spans="1:11" ht="34.5" customHeight="1">
      <c r="A60" s="84" t="s">
        <v>243</v>
      </c>
      <c r="B60" s="74">
        <f t="shared" si="0"/>
        <v>446852</v>
      </c>
      <c r="C60" s="47">
        <v>0</v>
      </c>
      <c r="D60" s="47">
        <v>0</v>
      </c>
      <c r="E60" s="47">
        <v>0</v>
      </c>
      <c r="F60" s="47">
        <v>0</v>
      </c>
      <c r="G60" s="47">
        <v>446852</v>
      </c>
      <c r="H60" s="49">
        <v>0</v>
      </c>
      <c r="I60" s="49">
        <v>0</v>
      </c>
      <c r="K60" s="11"/>
    </row>
    <row r="61" spans="1:11" ht="30" customHeight="1">
      <c r="A61" s="85" t="s">
        <v>245</v>
      </c>
      <c r="B61" s="74">
        <f t="shared" si="0"/>
        <v>316839</v>
      </c>
      <c r="C61" s="93">
        <v>0</v>
      </c>
      <c r="D61" s="94">
        <v>129010</v>
      </c>
      <c r="E61" s="93">
        <v>0</v>
      </c>
      <c r="F61" s="95">
        <v>0</v>
      </c>
      <c r="G61" s="94">
        <v>187829</v>
      </c>
      <c r="H61" s="93">
        <v>0</v>
      </c>
      <c r="I61" s="93">
        <v>0</v>
      </c>
    </row>
    <row r="62" spans="1:11" ht="31.5" customHeight="1">
      <c r="A62" s="92" t="s">
        <v>313</v>
      </c>
      <c r="B62" s="74">
        <f t="shared" si="0"/>
        <v>71742</v>
      </c>
      <c r="C62" s="96">
        <v>4951</v>
      </c>
      <c r="D62" s="97">
        <v>64791</v>
      </c>
      <c r="E62" s="96"/>
      <c r="F62" s="47"/>
      <c r="G62" s="97">
        <v>2000</v>
      </c>
      <c r="H62" s="96"/>
      <c r="I62" s="96"/>
    </row>
    <row r="63" spans="1:11" ht="31.5" customHeight="1">
      <c r="A63" s="142" t="s">
        <v>472</v>
      </c>
      <c r="B63" s="74">
        <f t="shared" si="0"/>
        <v>100000</v>
      </c>
      <c r="C63" s="96"/>
      <c r="D63" s="97"/>
      <c r="E63" s="96"/>
      <c r="F63" s="47"/>
      <c r="G63" s="97">
        <v>100000</v>
      </c>
      <c r="H63" s="96"/>
      <c r="I63" s="96"/>
    </row>
    <row r="64" spans="1:11" ht="31.5" customHeight="1">
      <c r="A64" s="142" t="s">
        <v>473</v>
      </c>
      <c r="B64" s="74">
        <f t="shared" si="0"/>
        <v>271356</v>
      </c>
      <c r="C64" s="96"/>
      <c r="D64" s="97"/>
      <c r="E64" s="96"/>
      <c r="F64" s="47"/>
      <c r="G64" s="97">
        <v>271356</v>
      </c>
      <c r="H64" s="96"/>
      <c r="I64" s="96"/>
    </row>
    <row r="65" spans="1:11" ht="31.5" customHeight="1">
      <c r="A65" s="67" t="s">
        <v>177</v>
      </c>
      <c r="B65" s="74">
        <f t="shared" si="0"/>
        <v>277863</v>
      </c>
      <c r="C65" s="47">
        <v>0</v>
      </c>
      <c r="D65" s="47">
        <f>178285+1000</f>
        <v>179285</v>
      </c>
      <c r="E65" s="47">
        <v>0</v>
      </c>
      <c r="F65" s="47">
        <v>0</v>
      </c>
      <c r="G65" s="47">
        <v>98578</v>
      </c>
      <c r="H65" s="49">
        <v>0</v>
      </c>
      <c r="I65" s="49">
        <v>0</v>
      </c>
    </row>
    <row r="66" spans="1:11" ht="27" customHeight="1">
      <c r="A66" s="67" t="s">
        <v>178</v>
      </c>
      <c r="B66" s="74">
        <f t="shared" si="0"/>
        <v>39418</v>
      </c>
      <c r="C66" s="47">
        <v>0</v>
      </c>
      <c r="D66" s="47">
        <f>37918+1500</f>
        <v>39418</v>
      </c>
      <c r="E66" s="47">
        <v>0</v>
      </c>
      <c r="F66" s="47">
        <v>0</v>
      </c>
      <c r="G66" s="47">
        <v>0</v>
      </c>
      <c r="H66" s="49">
        <v>0</v>
      </c>
      <c r="I66" s="49">
        <v>0</v>
      </c>
    </row>
    <row r="67" spans="1:11" ht="30.75" customHeight="1">
      <c r="A67" s="67" t="s">
        <v>179</v>
      </c>
      <c r="B67" s="74">
        <f t="shared" si="0"/>
        <v>30842</v>
      </c>
      <c r="C67" s="47">
        <v>0</v>
      </c>
      <c r="D67" s="47">
        <f>30442+400</f>
        <v>30842</v>
      </c>
      <c r="E67" s="47">
        <v>0</v>
      </c>
      <c r="F67" s="47">
        <v>0</v>
      </c>
      <c r="G67" s="47">
        <v>0</v>
      </c>
      <c r="H67" s="49">
        <v>0</v>
      </c>
      <c r="I67" s="49">
        <v>0</v>
      </c>
    </row>
    <row r="68" spans="1:11" ht="39" customHeight="1">
      <c r="A68" s="67" t="s">
        <v>180</v>
      </c>
      <c r="B68" s="74">
        <f t="shared" si="0"/>
        <v>61550</v>
      </c>
      <c r="C68" s="47">
        <v>0</v>
      </c>
      <c r="D68" s="47">
        <f>42361+1200</f>
        <v>43561</v>
      </c>
      <c r="E68" s="47">
        <v>0</v>
      </c>
      <c r="F68" s="47">
        <v>0</v>
      </c>
      <c r="G68" s="47">
        <v>17989</v>
      </c>
      <c r="H68" s="49">
        <v>0</v>
      </c>
      <c r="I68" s="49">
        <v>0</v>
      </c>
      <c r="K68" s="11"/>
    </row>
    <row r="69" spans="1:11" ht="32.25" customHeight="1">
      <c r="A69" s="67" t="s">
        <v>181</v>
      </c>
      <c r="B69" s="74">
        <f t="shared" si="0"/>
        <v>63824</v>
      </c>
      <c r="C69" s="47">
        <v>0</v>
      </c>
      <c r="D69" s="47">
        <f>63284+540</f>
        <v>63824</v>
      </c>
      <c r="E69" s="47">
        <v>0</v>
      </c>
      <c r="F69" s="47">
        <v>0</v>
      </c>
      <c r="G69" s="47">
        <v>0</v>
      </c>
      <c r="H69" s="49">
        <v>0</v>
      </c>
      <c r="I69" s="49">
        <v>0</v>
      </c>
      <c r="K69" s="11"/>
    </row>
    <row r="70" spans="1:11" ht="33.75" customHeight="1">
      <c r="A70" s="67" t="s">
        <v>182</v>
      </c>
      <c r="B70" s="74">
        <f t="shared" si="0"/>
        <v>33087</v>
      </c>
      <c r="C70" s="47">
        <v>0</v>
      </c>
      <c r="D70" s="47">
        <f>32987+100</f>
        <v>33087</v>
      </c>
      <c r="E70" s="47">
        <v>0</v>
      </c>
      <c r="F70" s="47">
        <v>0</v>
      </c>
      <c r="G70" s="47">
        <v>0</v>
      </c>
      <c r="H70" s="49">
        <v>0</v>
      </c>
      <c r="I70" s="49">
        <v>0</v>
      </c>
      <c r="K70" s="11"/>
    </row>
    <row r="71" spans="1:11" ht="31.5" customHeight="1">
      <c r="A71" s="67" t="s">
        <v>183</v>
      </c>
      <c r="B71" s="74">
        <f t="shared" si="0"/>
        <v>49056</v>
      </c>
      <c r="C71" s="47">
        <v>0</v>
      </c>
      <c r="D71" s="47">
        <f>48656+400</f>
        <v>49056</v>
      </c>
      <c r="E71" s="47">
        <v>0</v>
      </c>
      <c r="F71" s="47">
        <v>0</v>
      </c>
      <c r="G71" s="47">
        <v>0</v>
      </c>
      <c r="H71" s="49">
        <v>0</v>
      </c>
      <c r="I71" s="49">
        <v>0</v>
      </c>
      <c r="K71" s="11"/>
    </row>
    <row r="72" spans="1:11" ht="30" customHeight="1">
      <c r="A72" s="67" t="s">
        <v>184</v>
      </c>
      <c r="B72" s="74">
        <f t="shared" si="0"/>
        <v>14000</v>
      </c>
      <c r="C72" s="47">
        <v>0</v>
      </c>
      <c r="D72" s="47">
        <v>14000</v>
      </c>
      <c r="E72" s="47">
        <v>0</v>
      </c>
      <c r="F72" s="47">
        <v>0</v>
      </c>
      <c r="G72" s="47">
        <v>0</v>
      </c>
      <c r="H72" s="49">
        <v>0</v>
      </c>
      <c r="I72" s="49">
        <v>0</v>
      </c>
      <c r="K72" s="11"/>
    </row>
    <row r="73" spans="1:11" ht="28.5" customHeight="1">
      <c r="A73" s="67" t="s">
        <v>185</v>
      </c>
      <c r="B73" s="74">
        <f t="shared" si="0"/>
        <v>53621</v>
      </c>
      <c r="C73" s="47">
        <v>0</v>
      </c>
      <c r="D73" s="47">
        <f>48421+5200</f>
        <v>53621</v>
      </c>
      <c r="E73" s="47">
        <v>0</v>
      </c>
      <c r="F73" s="47"/>
      <c r="G73" s="47">
        <v>0</v>
      </c>
      <c r="H73" s="49">
        <v>0</v>
      </c>
      <c r="I73" s="49">
        <v>0</v>
      </c>
      <c r="K73" s="11"/>
    </row>
    <row r="74" spans="1:11" ht="30" customHeight="1">
      <c r="A74" s="67" t="s">
        <v>186</v>
      </c>
      <c r="B74" s="74">
        <f t="shared" si="0"/>
        <v>23398</v>
      </c>
      <c r="C74" s="47">
        <v>0</v>
      </c>
      <c r="D74" s="47">
        <f>22398+1000</f>
        <v>23398</v>
      </c>
      <c r="E74" s="47">
        <v>0</v>
      </c>
      <c r="F74" s="47">
        <v>0</v>
      </c>
      <c r="G74" s="47">
        <v>0</v>
      </c>
      <c r="H74" s="49">
        <v>0</v>
      </c>
      <c r="I74" s="49">
        <v>0</v>
      </c>
      <c r="K74" s="11"/>
    </row>
    <row r="75" spans="1:11" ht="30" customHeight="1">
      <c r="A75" s="67" t="s">
        <v>187</v>
      </c>
      <c r="B75" s="74">
        <f t="shared" si="0"/>
        <v>34696</v>
      </c>
      <c r="C75" s="47">
        <v>0</v>
      </c>
      <c r="D75" s="47">
        <f>31196+3500</f>
        <v>34696</v>
      </c>
      <c r="E75" s="47">
        <v>0</v>
      </c>
      <c r="F75" s="47">
        <v>0</v>
      </c>
      <c r="G75" s="47">
        <v>0</v>
      </c>
      <c r="H75" s="49">
        <v>0</v>
      </c>
      <c r="I75" s="49">
        <v>0</v>
      </c>
      <c r="K75" s="11"/>
    </row>
    <row r="76" spans="1:11" ht="30.75" customHeight="1">
      <c r="A76" s="84" t="s">
        <v>314</v>
      </c>
      <c r="B76" s="74">
        <f t="shared" si="0"/>
        <v>205926</v>
      </c>
      <c r="C76" s="47">
        <f>1978+938+222+974+833</f>
        <v>4945</v>
      </c>
      <c r="D76" s="47">
        <f>1046+328</f>
        <v>1374</v>
      </c>
      <c r="E76" s="47"/>
      <c r="F76" s="47"/>
      <c r="G76" s="47"/>
      <c r="H76" s="49">
        <f>107939+56890+16800+16201</f>
        <v>197830</v>
      </c>
      <c r="I76" s="49">
        <f>838+939</f>
        <v>1777</v>
      </c>
      <c r="K76" s="11"/>
    </row>
    <row r="77" spans="1:11" ht="30.75" customHeight="1">
      <c r="A77" s="84" t="s">
        <v>329</v>
      </c>
      <c r="B77" s="74">
        <f t="shared" ref="B77:B141" si="1">SUM(C77:I77)</f>
        <v>1900</v>
      </c>
      <c r="C77" s="47">
        <v>1900</v>
      </c>
      <c r="D77" s="47"/>
      <c r="E77" s="47"/>
      <c r="F77" s="47"/>
      <c r="G77" s="47"/>
      <c r="H77" s="49"/>
      <c r="I77" s="49"/>
      <c r="K77" s="11"/>
    </row>
    <row r="78" spans="1:11" ht="30" customHeight="1">
      <c r="A78" s="87" t="s">
        <v>316</v>
      </c>
      <c r="B78" s="74">
        <f t="shared" si="1"/>
        <v>3997</v>
      </c>
      <c r="C78" s="97">
        <v>3997</v>
      </c>
      <c r="D78" s="97"/>
      <c r="E78" s="96"/>
      <c r="F78" s="96"/>
      <c r="G78" s="96"/>
      <c r="H78" s="96"/>
      <c r="I78" s="96"/>
      <c r="J78" s="45"/>
      <c r="K78" s="11"/>
    </row>
    <row r="79" spans="1:11" ht="30" customHeight="1">
      <c r="A79" s="87" t="s">
        <v>496</v>
      </c>
      <c r="B79" s="74">
        <f t="shared" si="1"/>
        <v>2508</v>
      </c>
      <c r="C79" s="97">
        <v>2508</v>
      </c>
      <c r="D79" s="97"/>
      <c r="E79" s="96"/>
      <c r="F79" s="96"/>
      <c r="G79" s="96"/>
      <c r="H79" s="96"/>
      <c r="I79" s="96"/>
      <c r="J79" s="45"/>
      <c r="K79" s="11"/>
    </row>
    <row r="80" spans="1:11" ht="30" customHeight="1">
      <c r="A80" s="84" t="s">
        <v>322</v>
      </c>
      <c r="B80" s="74">
        <f t="shared" si="1"/>
        <v>601454</v>
      </c>
      <c r="C80" s="47"/>
      <c r="D80" s="47"/>
      <c r="E80" s="47"/>
      <c r="F80" s="47"/>
      <c r="G80" s="47">
        <v>601454</v>
      </c>
      <c r="H80" s="49"/>
      <c r="I80" s="49"/>
      <c r="K80" s="11"/>
    </row>
    <row r="81" spans="1:11" ht="22.5" customHeight="1">
      <c r="A81" s="84" t="s">
        <v>321</v>
      </c>
      <c r="B81" s="74">
        <f t="shared" si="1"/>
        <v>2350</v>
      </c>
      <c r="C81" s="50"/>
      <c r="D81" s="50">
        <v>2350</v>
      </c>
      <c r="E81" s="50"/>
      <c r="F81" s="50"/>
      <c r="G81" s="50"/>
      <c r="H81" s="51"/>
      <c r="I81" s="51"/>
      <c r="K81" s="11"/>
    </row>
    <row r="82" spans="1:11" ht="30" customHeight="1">
      <c r="A82" s="84" t="s">
        <v>320</v>
      </c>
      <c r="B82" s="74">
        <f t="shared" si="1"/>
        <v>42799</v>
      </c>
      <c r="C82" s="47">
        <v>387</v>
      </c>
      <c r="D82" s="47"/>
      <c r="E82" s="47"/>
      <c r="F82" s="47"/>
      <c r="G82" s="47">
        <v>42412</v>
      </c>
      <c r="H82" s="49"/>
      <c r="I82" s="49"/>
      <c r="J82" s="45"/>
      <c r="K82" s="11"/>
    </row>
    <row r="83" spans="1:11" ht="24" customHeight="1">
      <c r="A83" s="84" t="s">
        <v>319</v>
      </c>
      <c r="B83" s="74">
        <f t="shared" si="1"/>
        <v>21334</v>
      </c>
      <c r="C83" s="47">
        <v>16270</v>
      </c>
      <c r="D83" s="47">
        <v>5064</v>
      </c>
      <c r="E83" s="47"/>
      <c r="F83" s="47"/>
      <c r="G83" s="47"/>
      <c r="H83" s="49"/>
      <c r="I83" s="49"/>
      <c r="J83" s="45"/>
      <c r="K83" s="11"/>
    </row>
    <row r="84" spans="1:11" ht="39.75" customHeight="1">
      <c r="A84" s="84" t="s">
        <v>318</v>
      </c>
      <c r="B84" s="74">
        <f t="shared" si="1"/>
        <v>1628</v>
      </c>
      <c r="C84" s="47"/>
      <c r="D84" s="47">
        <v>1628</v>
      </c>
      <c r="E84" s="47"/>
      <c r="F84" s="47"/>
      <c r="G84" s="47"/>
      <c r="H84" s="49"/>
      <c r="I84" s="49"/>
      <c r="J84" s="45"/>
      <c r="K84" s="11"/>
    </row>
    <row r="85" spans="1:11" ht="43.5" customHeight="1">
      <c r="A85" s="84" t="s">
        <v>317</v>
      </c>
      <c r="B85" s="74">
        <f t="shared" si="1"/>
        <v>252995</v>
      </c>
      <c r="C85" s="47">
        <v>4234</v>
      </c>
      <c r="D85" s="47">
        <v>2071</v>
      </c>
      <c r="E85" s="47"/>
      <c r="F85" s="47"/>
      <c r="G85" s="47">
        <v>86178</v>
      </c>
      <c r="H85" s="49"/>
      <c r="I85" s="49">
        <v>160512</v>
      </c>
      <c r="K85" s="11"/>
    </row>
    <row r="86" spans="1:11" ht="66.75" customHeight="1">
      <c r="A86" s="103" t="s">
        <v>195</v>
      </c>
      <c r="B86" s="74">
        <f t="shared" si="1"/>
        <v>36209</v>
      </c>
      <c r="C86" s="47">
        <v>0</v>
      </c>
      <c r="D86" s="47">
        <v>0</v>
      </c>
      <c r="E86" s="47">
        <v>0</v>
      </c>
      <c r="F86" s="47">
        <v>0</v>
      </c>
      <c r="G86" s="47">
        <v>36209</v>
      </c>
      <c r="H86" s="49">
        <v>0</v>
      </c>
      <c r="I86" s="49">
        <v>0</v>
      </c>
      <c r="K86" s="11"/>
    </row>
    <row r="87" spans="1:11" ht="43.5" customHeight="1">
      <c r="A87" s="103" t="s">
        <v>197</v>
      </c>
      <c r="B87" s="74">
        <f t="shared" si="1"/>
        <v>2832</v>
      </c>
      <c r="C87" s="47">
        <v>0</v>
      </c>
      <c r="D87" s="47">
        <v>251</v>
      </c>
      <c r="E87" s="47">
        <v>2581</v>
      </c>
      <c r="F87" s="47">
        <v>0</v>
      </c>
      <c r="G87" s="47">
        <v>0</v>
      </c>
      <c r="H87" s="49">
        <v>0</v>
      </c>
      <c r="I87" s="49">
        <v>0</v>
      </c>
      <c r="K87" s="11"/>
    </row>
    <row r="88" spans="1:11" ht="50.25" customHeight="1">
      <c r="A88" s="91" t="s">
        <v>212</v>
      </c>
      <c r="B88" s="74">
        <f t="shared" si="1"/>
        <v>93929</v>
      </c>
      <c r="C88" s="47">
        <v>0</v>
      </c>
      <c r="D88" s="47">
        <v>0</v>
      </c>
      <c r="E88" s="47">
        <v>0</v>
      </c>
      <c r="F88" s="47">
        <v>0</v>
      </c>
      <c r="G88" s="47">
        <v>93929</v>
      </c>
      <c r="H88" s="49">
        <v>0</v>
      </c>
      <c r="I88" s="49">
        <v>0</v>
      </c>
      <c r="K88" s="11"/>
    </row>
    <row r="89" spans="1:11" ht="27.75" customHeight="1">
      <c r="A89" s="91" t="s">
        <v>213</v>
      </c>
      <c r="B89" s="74">
        <f t="shared" si="1"/>
        <v>140999</v>
      </c>
      <c r="C89" s="47">
        <v>0</v>
      </c>
      <c r="D89" s="47">
        <v>0</v>
      </c>
      <c r="E89" s="47">
        <v>0</v>
      </c>
      <c r="F89" s="47">
        <v>0</v>
      </c>
      <c r="G89" s="47">
        <v>140999</v>
      </c>
      <c r="H89" s="49">
        <v>0</v>
      </c>
      <c r="I89" s="49">
        <v>0</v>
      </c>
      <c r="K89" s="11"/>
    </row>
    <row r="90" spans="1:11" ht="101.25" customHeight="1">
      <c r="A90" s="66" t="s">
        <v>221</v>
      </c>
      <c r="B90" s="74">
        <f t="shared" si="1"/>
        <v>2617</v>
      </c>
      <c r="C90" s="47">
        <v>0</v>
      </c>
      <c r="D90" s="47">
        <v>2617</v>
      </c>
      <c r="E90" s="47">
        <v>0</v>
      </c>
      <c r="F90" s="47">
        <v>0</v>
      </c>
      <c r="G90" s="47">
        <v>0</v>
      </c>
      <c r="H90" s="49">
        <v>0</v>
      </c>
      <c r="I90" s="49">
        <v>0</v>
      </c>
      <c r="K90" s="11"/>
    </row>
    <row r="91" spans="1:11" ht="62.25" customHeight="1">
      <c r="A91" s="91" t="s">
        <v>172</v>
      </c>
      <c r="B91" s="74">
        <f t="shared" si="1"/>
        <v>181784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9">
        <v>0</v>
      </c>
      <c r="I91" s="49">
        <v>181784</v>
      </c>
      <c r="K91" s="11"/>
    </row>
    <row r="92" spans="1:11" ht="66.75" customHeight="1">
      <c r="A92" s="66" t="s">
        <v>173</v>
      </c>
      <c r="B92" s="74">
        <f t="shared" si="1"/>
        <v>248100</v>
      </c>
      <c r="C92" s="47">
        <v>0</v>
      </c>
      <c r="D92" s="47">
        <v>0</v>
      </c>
      <c r="E92" s="47">
        <v>0</v>
      </c>
      <c r="F92" s="47">
        <v>0</v>
      </c>
      <c r="G92" s="47">
        <v>248100</v>
      </c>
      <c r="H92" s="49">
        <v>0</v>
      </c>
      <c r="I92" s="49">
        <v>0</v>
      </c>
      <c r="J92" s="45"/>
      <c r="K92" s="11"/>
    </row>
    <row r="93" spans="1:11" ht="64.5" customHeight="1">
      <c r="A93" s="66" t="s">
        <v>175</v>
      </c>
      <c r="B93" s="74">
        <f t="shared" si="1"/>
        <v>3258980</v>
      </c>
      <c r="C93" s="47">
        <v>0</v>
      </c>
      <c r="D93" s="47">
        <v>0</v>
      </c>
      <c r="E93" s="47">
        <v>0</v>
      </c>
      <c r="F93" s="47">
        <v>0</v>
      </c>
      <c r="G93" s="47">
        <v>3258980</v>
      </c>
      <c r="H93" s="49">
        <v>0</v>
      </c>
      <c r="I93" s="49">
        <v>0</v>
      </c>
      <c r="K93" s="11"/>
    </row>
    <row r="94" spans="1:11" ht="69" customHeight="1">
      <c r="A94" s="66" t="s">
        <v>176</v>
      </c>
      <c r="B94" s="74">
        <f t="shared" si="1"/>
        <v>39282</v>
      </c>
      <c r="C94" s="47">
        <f>8043+1897</f>
        <v>9940</v>
      </c>
      <c r="D94" s="47">
        <f>4000+1596</f>
        <v>5596</v>
      </c>
      <c r="E94" s="47">
        <v>0</v>
      </c>
      <c r="F94" s="47">
        <v>0</v>
      </c>
      <c r="G94" s="47">
        <v>23746</v>
      </c>
      <c r="H94" s="49">
        <v>0</v>
      </c>
      <c r="I94" s="49">
        <v>0</v>
      </c>
      <c r="K94" s="11"/>
    </row>
    <row r="95" spans="1:11" ht="35.25" customHeight="1">
      <c r="A95" s="84" t="s">
        <v>482</v>
      </c>
      <c r="B95" s="74">
        <f t="shared" si="1"/>
        <v>5053</v>
      </c>
      <c r="C95" s="47"/>
      <c r="D95" s="47">
        <v>5053</v>
      </c>
      <c r="E95" s="47"/>
      <c r="F95" s="47"/>
      <c r="G95" s="47"/>
      <c r="H95" s="49"/>
      <c r="I95" s="49"/>
      <c r="K95" s="11"/>
    </row>
    <row r="96" spans="1:11" ht="35.25" customHeight="1">
      <c r="A96" s="84" t="s">
        <v>483</v>
      </c>
      <c r="B96" s="74">
        <f t="shared" si="1"/>
        <v>6540</v>
      </c>
      <c r="C96" s="47"/>
      <c r="D96" s="47">
        <v>6540</v>
      </c>
      <c r="E96" s="47"/>
      <c r="F96" s="47"/>
      <c r="G96" s="47"/>
      <c r="H96" s="49"/>
      <c r="I96" s="49"/>
      <c r="K96" s="11"/>
    </row>
    <row r="97" spans="1:11" ht="49.5" customHeight="1">
      <c r="A97" s="84" t="s">
        <v>484</v>
      </c>
      <c r="B97" s="74">
        <f t="shared" si="1"/>
        <v>15571</v>
      </c>
      <c r="C97" s="47"/>
      <c r="D97" s="47">
        <v>14780</v>
      </c>
      <c r="E97" s="47"/>
      <c r="F97" s="47"/>
      <c r="G97" s="47">
        <v>791</v>
      </c>
      <c r="H97" s="49"/>
      <c r="I97" s="49"/>
      <c r="K97" s="11"/>
    </row>
    <row r="98" spans="1:11" ht="28.5" customHeight="1">
      <c r="A98" s="84" t="s">
        <v>485</v>
      </c>
      <c r="B98" s="74">
        <f t="shared" si="1"/>
        <v>13665</v>
      </c>
      <c r="C98" s="47"/>
      <c r="D98" s="47">
        <v>6145</v>
      </c>
      <c r="E98" s="47"/>
      <c r="F98" s="47"/>
      <c r="G98" s="47">
        <v>7520</v>
      </c>
      <c r="H98" s="49"/>
      <c r="I98" s="49"/>
      <c r="K98" s="11"/>
    </row>
    <row r="99" spans="1:11" ht="52.5" customHeight="1">
      <c r="A99" s="66" t="s">
        <v>209</v>
      </c>
      <c r="B99" s="74">
        <f t="shared" si="1"/>
        <v>155356</v>
      </c>
      <c r="C99" s="47"/>
      <c r="D99" s="47">
        <f>830+6500+2000</f>
        <v>9330</v>
      </c>
      <c r="E99" s="47">
        <v>0</v>
      </c>
      <c r="F99" s="47"/>
      <c r="G99" s="47">
        <v>146026</v>
      </c>
      <c r="H99" s="49"/>
      <c r="I99" s="49"/>
    </row>
    <row r="100" spans="1:11" ht="81" customHeight="1">
      <c r="A100" s="72" t="s">
        <v>214</v>
      </c>
      <c r="B100" s="74">
        <f t="shared" si="1"/>
        <v>405772</v>
      </c>
      <c r="C100" s="47">
        <v>0</v>
      </c>
      <c r="D100" s="47">
        <v>0</v>
      </c>
      <c r="E100" s="47">
        <v>0</v>
      </c>
      <c r="F100" s="47">
        <v>0</v>
      </c>
      <c r="G100" s="47">
        <v>405772</v>
      </c>
      <c r="H100" s="49">
        <v>0</v>
      </c>
      <c r="I100" s="49">
        <v>0</v>
      </c>
    </row>
    <row r="101" spans="1:11" ht="48.75" customHeight="1">
      <c r="A101" s="72" t="s">
        <v>190</v>
      </c>
      <c r="B101" s="74">
        <f t="shared" si="1"/>
        <v>65500</v>
      </c>
      <c r="C101" s="47">
        <v>0</v>
      </c>
      <c r="D101" s="47">
        <v>65500</v>
      </c>
      <c r="E101" s="47">
        <v>0</v>
      </c>
      <c r="F101" s="47">
        <v>0</v>
      </c>
      <c r="G101" s="47">
        <v>0</v>
      </c>
      <c r="H101" s="49">
        <v>0</v>
      </c>
      <c r="I101" s="49">
        <v>0</v>
      </c>
    </row>
    <row r="102" spans="1:11" ht="81" customHeight="1">
      <c r="A102" s="109" t="s">
        <v>191</v>
      </c>
      <c r="B102" s="74">
        <f t="shared" si="1"/>
        <v>24008</v>
      </c>
      <c r="C102" s="47">
        <v>0</v>
      </c>
      <c r="D102" s="47">
        <v>24008</v>
      </c>
      <c r="E102" s="47">
        <v>0</v>
      </c>
      <c r="F102" s="47">
        <v>0</v>
      </c>
      <c r="G102" s="47">
        <v>0</v>
      </c>
      <c r="H102" s="49">
        <v>0</v>
      </c>
      <c r="I102" s="49">
        <v>0</v>
      </c>
    </row>
    <row r="103" spans="1:11" ht="30" customHeight="1">
      <c r="A103" s="90" t="s">
        <v>330</v>
      </c>
      <c r="B103" s="74">
        <f t="shared" si="1"/>
        <v>712</v>
      </c>
      <c r="C103" s="47">
        <v>0</v>
      </c>
      <c r="D103" s="47">
        <v>712</v>
      </c>
      <c r="E103" s="47">
        <v>0</v>
      </c>
      <c r="F103" s="47">
        <v>0</v>
      </c>
      <c r="G103" s="47">
        <v>0</v>
      </c>
      <c r="H103" s="49">
        <v>0</v>
      </c>
      <c r="I103" s="49">
        <v>0</v>
      </c>
    </row>
    <row r="104" spans="1:11" ht="41.25" customHeight="1">
      <c r="A104" s="86" t="s">
        <v>331</v>
      </c>
      <c r="B104" s="74">
        <f t="shared" si="1"/>
        <v>6046</v>
      </c>
      <c r="C104" s="47">
        <v>0</v>
      </c>
      <c r="D104" s="47">
        <v>6046</v>
      </c>
      <c r="E104" s="47">
        <v>0</v>
      </c>
      <c r="F104" s="47">
        <v>0</v>
      </c>
      <c r="G104" s="47">
        <v>0</v>
      </c>
      <c r="H104" s="49">
        <v>0</v>
      </c>
      <c r="I104" s="49">
        <v>0</v>
      </c>
    </row>
    <row r="105" spans="1:11" ht="35.25" customHeight="1">
      <c r="A105" s="86" t="s">
        <v>332</v>
      </c>
      <c r="B105" s="74">
        <f t="shared" si="1"/>
        <v>7186</v>
      </c>
      <c r="C105" s="47">
        <v>0</v>
      </c>
      <c r="D105" s="47">
        <v>7186</v>
      </c>
      <c r="E105" s="47">
        <v>0</v>
      </c>
      <c r="F105" s="47">
        <v>0</v>
      </c>
      <c r="G105" s="47">
        <v>0</v>
      </c>
      <c r="H105" s="49">
        <v>0</v>
      </c>
      <c r="I105" s="49">
        <v>0</v>
      </c>
    </row>
    <row r="106" spans="1:11" ht="36.75" customHeight="1">
      <c r="A106" s="90" t="s">
        <v>333</v>
      </c>
      <c r="B106" s="74">
        <f t="shared" si="1"/>
        <v>35783</v>
      </c>
      <c r="C106" s="47">
        <v>19497</v>
      </c>
      <c r="D106" s="47">
        <v>13086</v>
      </c>
      <c r="E106" s="47">
        <v>0</v>
      </c>
      <c r="F106" s="47">
        <v>0</v>
      </c>
      <c r="G106" s="47">
        <v>3200</v>
      </c>
      <c r="H106" s="49">
        <v>0</v>
      </c>
      <c r="I106" s="49">
        <v>0</v>
      </c>
    </row>
    <row r="107" spans="1:11" ht="51" customHeight="1">
      <c r="A107" s="90" t="s">
        <v>334</v>
      </c>
      <c r="B107" s="74">
        <f t="shared" si="1"/>
        <v>6840</v>
      </c>
      <c r="C107" s="47">
        <v>0</v>
      </c>
      <c r="D107" s="47">
        <v>6840</v>
      </c>
      <c r="E107" s="47">
        <v>0</v>
      </c>
      <c r="F107" s="47">
        <v>0</v>
      </c>
      <c r="G107" s="47">
        <v>0</v>
      </c>
      <c r="H107" s="49">
        <v>0</v>
      </c>
      <c r="I107" s="49">
        <v>0</v>
      </c>
    </row>
    <row r="108" spans="1:11" ht="52.5" customHeight="1">
      <c r="A108" s="90" t="s">
        <v>335</v>
      </c>
      <c r="B108" s="74">
        <f t="shared" si="1"/>
        <v>7858</v>
      </c>
      <c r="C108" s="47">
        <v>0</v>
      </c>
      <c r="D108" s="47">
        <v>7858</v>
      </c>
      <c r="E108" s="47">
        <v>0</v>
      </c>
      <c r="F108" s="47">
        <v>0</v>
      </c>
      <c r="G108" s="47">
        <v>0</v>
      </c>
      <c r="H108" s="49">
        <v>0</v>
      </c>
      <c r="I108" s="49">
        <v>0</v>
      </c>
    </row>
    <row r="109" spans="1:11" ht="36.75" customHeight="1">
      <c r="A109" s="90" t="s">
        <v>336</v>
      </c>
      <c r="B109" s="74">
        <f t="shared" si="1"/>
        <v>2566</v>
      </c>
      <c r="C109" s="47">
        <v>0</v>
      </c>
      <c r="D109" s="47">
        <v>2566</v>
      </c>
      <c r="E109" s="47">
        <v>0</v>
      </c>
      <c r="F109" s="47">
        <v>0</v>
      </c>
      <c r="G109" s="47">
        <v>0</v>
      </c>
      <c r="H109" s="49">
        <v>0</v>
      </c>
      <c r="I109" s="49">
        <v>0</v>
      </c>
    </row>
    <row r="110" spans="1:11" ht="34.5" customHeight="1">
      <c r="A110" s="84" t="s">
        <v>345</v>
      </c>
      <c r="B110" s="74">
        <f t="shared" si="1"/>
        <v>12365</v>
      </c>
      <c r="C110" s="47">
        <v>0</v>
      </c>
      <c r="D110" s="47">
        <v>12365</v>
      </c>
      <c r="E110" s="47">
        <v>0</v>
      </c>
      <c r="F110" s="47">
        <v>0</v>
      </c>
      <c r="G110" s="47">
        <v>0</v>
      </c>
      <c r="H110" s="49">
        <v>0</v>
      </c>
      <c r="I110" s="49">
        <v>0</v>
      </c>
    </row>
    <row r="111" spans="1:11" ht="48.75" customHeight="1">
      <c r="A111" s="84" t="s">
        <v>344</v>
      </c>
      <c r="B111" s="74">
        <f t="shared" si="1"/>
        <v>6046</v>
      </c>
      <c r="C111" s="47">
        <v>0</v>
      </c>
      <c r="D111" s="47">
        <v>6046</v>
      </c>
      <c r="E111" s="47">
        <v>0</v>
      </c>
      <c r="F111" s="47">
        <v>0</v>
      </c>
      <c r="G111" s="47">
        <v>0</v>
      </c>
      <c r="H111" s="49">
        <v>0</v>
      </c>
      <c r="I111" s="49">
        <v>0</v>
      </c>
      <c r="K111" s="11"/>
    </row>
    <row r="112" spans="1:11" ht="48" customHeight="1">
      <c r="A112" s="84" t="s">
        <v>343</v>
      </c>
      <c r="B112" s="74">
        <f t="shared" si="1"/>
        <v>3764</v>
      </c>
      <c r="C112" s="47">
        <v>0</v>
      </c>
      <c r="D112" s="47">
        <v>3764</v>
      </c>
      <c r="E112" s="47">
        <v>0</v>
      </c>
      <c r="F112" s="47">
        <v>0</v>
      </c>
      <c r="G112" s="47">
        <v>0</v>
      </c>
      <c r="H112" s="49">
        <v>0</v>
      </c>
      <c r="I112" s="49">
        <v>0</v>
      </c>
      <c r="J112" s="45"/>
      <c r="K112" s="11"/>
    </row>
    <row r="113" spans="1:11" ht="51" customHeight="1">
      <c r="A113" s="84" t="s">
        <v>342</v>
      </c>
      <c r="B113" s="74">
        <f t="shared" si="1"/>
        <v>3575</v>
      </c>
      <c r="C113" s="50">
        <v>0</v>
      </c>
      <c r="D113" s="50">
        <v>3575</v>
      </c>
      <c r="E113" s="50">
        <v>0</v>
      </c>
      <c r="F113" s="50">
        <v>0</v>
      </c>
      <c r="G113" s="50">
        <v>0</v>
      </c>
      <c r="H113" s="51">
        <v>0</v>
      </c>
      <c r="I113" s="51">
        <v>0</v>
      </c>
      <c r="K113" s="11"/>
    </row>
    <row r="114" spans="1:11" ht="45.75" customHeight="1">
      <c r="A114" s="84" t="s">
        <v>341</v>
      </c>
      <c r="B114" s="74">
        <f t="shared" si="1"/>
        <v>1179</v>
      </c>
      <c r="C114" s="47">
        <v>0</v>
      </c>
      <c r="D114" s="47">
        <v>1179</v>
      </c>
      <c r="E114" s="47">
        <v>0</v>
      </c>
      <c r="F114" s="47">
        <v>0</v>
      </c>
      <c r="G114" s="47">
        <v>0</v>
      </c>
      <c r="H114" s="49">
        <v>0</v>
      </c>
      <c r="I114" s="49">
        <v>0</v>
      </c>
      <c r="K114" s="11"/>
    </row>
    <row r="115" spans="1:11" ht="43.5" customHeight="1">
      <c r="A115" s="84" t="s">
        <v>340</v>
      </c>
      <c r="B115" s="74">
        <f t="shared" si="1"/>
        <v>694</v>
      </c>
      <c r="C115" s="47">
        <v>0</v>
      </c>
      <c r="D115" s="47">
        <v>694</v>
      </c>
      <c r="E115" s="47">
        <v>0</v>
      </c>
      <c r="F115" s="47">
        <v>0</v>
      </c>
      <c r="G115" s="47">
        <v>0</v>
      </c>
      <c r="H115" s="49">
        <v>0</v>
      </c>
      <c r="I115" s="49">
        <v>0</v>
      </c>
      <c r="K115" s="11"/>
    </row>
    <row r="116" spans="1:11" ht="46.5" customHeight="1">
      <c r="A116" s="84" t="s">
        <v>339</v>
      </c>
      <c r="B116" s="74">
        <f t="shared" si="1"/>
        <v>6625</v>
      </c>
      <c r="C116" s="47">
        <v>0</v>
      </c>
      <c r="D116" s="47">
        <v>6625</v>
      </c>
      <c r="E116" s="47">
        <v>0</v>
      </c>
      <c r="F116" s="47">
        <v>0</v>
      </c>
      <c r="G116" s="47">
        <v>0</v>
      </c>
      <c r="H116" s="49">
        <v>0</v>
      </c>
      <c r="I116" s="49">
        <v>0</v>
      </c>
      <c r="K116" s="11"/>
    </row>
    <row r="117" spans="1:11" ht="39" customHeight="1">
      <c r="A117" s="84" t="s">
        <v>338</v>
      </c>
      <c r="B117" s="74">
        <f t="shared" si="1"/>
        <v>17871</v>
      </c>
      <c r="C117" s="47">
        <v>0</v>
      </c>
      <c r="D117" s="47">
        <v>16673</v>
      </c>
      <c r="E117" s="47">
        <v>0</v>
      </c>
      <c r="F117" s="47">
        <v>0</v>
      </c>
      <c r="G117" s="47">
        <v>1198</v>
      </c>
      <c r="H117" s="49">
        <v>0</v>
      </c>
      <c r="I117" s="49">
        <v>0</v>
      </c>
      <c r="K117" s="11"/>
    </row>
    <row r="118" spans="1:11" ht="50.25" customHeight="1">
      <c r="A118" s="84" t="s">
        <v>337</v>
      </c>
      <c r="B118" s="74">
        <f t="shared" si="1"/>
        <v>3000</v>
      </c>
      <c r="C118" s="47">
        <v>0</v>
      </c>
      <c r="D118" s="47">
        <v>3000</v>
      </c>
      <c r="E118" s="47">
        <v>0</v>
      </c>
      <c r="F118" s="47">
        <v>0</v>
      </c>
      <c r="G118" s="47">
        <v>0</v>
      </c>
      <c r="H118" s="49">
        <v>0</v>
      </c>
      <c r="I118" s="49">
        <v>0</v>
      </c>
      <c r="K118" s="11"/>
    </row>
    <row r="119" spans="1:11" ht="32.25" customHeight="1">
      <c r="A119" s="66" t="s">
        <v>19</v>
      </c>
      <c r="B119" s="74">
        <f t="shared" si="1"/>
        <v>158515</v>
      </c>
      <c r="C119" s="47">
        <v>0</v>
      </c>
      <c r="D119" s="47">
        <v>114683</v>
      </c>
      <c r="E119" s="47">
        <v>0</v>
      </c>
      <c r="F119" s="47">
        <v>0</v>
      </c>
      <c r="G119" s="47">
        <v>43832</v>
      </c>
      <c r="H119" s="49">
        <v>0</v>
      </c>
      <c r="I119" s="49">
        <v>0</v>
      </c>
      <c r="K119" s="11"/>
    </row>
    <row r="120" spans="1:11" ht="35.25" customHeight="1">
      <c r="A120" s="66" t="s">
        <v>20</v>
      </c>
      <c r="B120" s="74">
        <f t="shared" si="1"/>
        <v>129940</v>
      </c>
      <c r="C120" s="47">
        <v>0</v>
      </c>
      <c r="D120" s="47">
        <f>93460+3480+1000</f>
        <v>97940</v>
      </c>
      <c r="E120" s="47">
        <v>0</v>
      </c>
      <c r="F120" s="47">
        <v>0</v>
      </c>
      <c r="G120" s="47">
        <v>10000</v>
      </c>
      <c r="H120" s="49">
        <v>22000</v>
      </c>
      <c r="I120" s="49">
        <v>0</v>
      </c>
      <c r="K120" s="11"/>
    </row>
    <row r="121" spans="1:11" ht="38.25" customHeight="1">
      <c r="A121" s="66" t="s">
        <v>21</v>
      </c>
      <c r="B121" s="74">
        <f t="shared" si="1"/>
        <v>18641</v>
      </c>
      <c r="C121" s="47">
        <f>8988+2583</f>
        <v>11571</v>
      </c>
      <c r="D121" s="47">
        <f>6020+850+200</f>
        <v>7070</v>
      </c>
      <c r="E121" s="47">
        <v>0</v>
      </c>
      <c r="F121" s="47">
        <v>0</v>
      </c>
      <c r="G121" s="47">
        <v>0</v>
      </c>
      <c r="H121" s="49">
        <v>0</v>
      </c>
      <c r="I121" s="49">
        <v>0</v>
      </c>
      <c r="J121" s="45"/>
      <c r="K121" s="11"/>
    </row>
    <row r="122" spans="1:11" ht="31.5" customHeight="1">
      <c r="A122" s="66" t="s">
        <v>22</v>
      </c>
      <c r="B122" s="74">
        <f t="shared" si="1"/>
        <v>71602</v>
      </c>
      <c r="C122" s="47">
        <f>33330+9284</f>
        <v>42614</v>
      </c>
      <c r="D122" s="47">
        <f>13793+11875+620</f>
        <v>26288</v>
      </c>
      <c r="E122" s="47">
        <v>0</v>
      </c>
      <c r="F122" s="47">
        <v>0</v>
      </c>
      <c r="G122" s="47">
        <v>2700</v>
      </c>
      <c r="H122" s="49">
        <v>0</v>
      </c>
      <c r="I122" s="49">
        <v>0</v>
      </c>
      <c r="K122" s="11"/>
    </row>
    <row r="123" spans="1:11" ht="31.5" customHeight="1">
      <c r="A123" s="66" t="s">
        <v>23</v>
      </c>
      <c r="B123" s="74">
        <f t="shared" si="1"/>
        <v>37355</v>
      </c>
      <c r="C123" s="47">
        <f>21240+5990</f>
        <v>27230</v>
      </c>
      <c r="D123" s="47">
        <f>8025+1500+600</f>
        <v>10125</v>
      </c>
      <c r="E123" s="47">
        <v>0</v>
      </c>
      <c r="F123" s="47">
        <v>0</v>
      </c>
      <c r="G123" s="47">
        <v>0</v>
      </c>
      <c r="H123" s="49">
        <v>0</v>
      </c>
      <c r="I123" s="49">
        <v>0</v>
      </c>
      <c r="K123" s="11"/>
    </row>
    <row r="124" spans="1:11" ht="29.25" customHeight="1">
      <c r="A124" s="66" t="s">
        <v>24</v>
      </c>
      <c r="B124" s="74">
        <f t="shared" si="1"/>
        <v>60270</v>
      </c>
      <c r="C124" s="47">
        <f>27624+7152</f>
        <v>34776</v>
      </c>
      <c r="D124" s="47">
        <f>9316+3020+220</f>
        <v>12556</v>
      </c>
      <c r="E124" s="47">
        <v>0</v>
      </c>
      <c r="F124" s="47">
        <v>0</v>
      </c>
      <c r="G124" s="47">
        <v>12938</v>
      </c>
      <c r="H124" s="49">
        <v>0</v>
      </c>
      <c r="I124" s="49">
        <v>0</v>
      </c>
      <c r="K124" s="11"/>
    </row>
    <row r="125" spans="1:11" ht="33.75" customHeight="1">
      <c r="A125" s="66" t="s">
        <v>25</v>
      </c>
      <c r="B125" s="74">
        <f t="shared" si="1"/>
        <v>94490</v>
      </c>
      <c r="C125" s="47">
        <f>35520+9195</f>
        <v>44715</v>
      </c>
      <c r="D125" s="47">
        <f>6765+15800+250</f>
        <v>22815</v>
      </c>
      <c r="E125" s="47">
        <v>0</v>
      </c>
      <c r="F125" s="47">
        <v>0</v>
      </c>
      <c r="G125" s="47">
        <v>26960</v>
      </c>
      <c r="H125" s="49">
        <v>0</v>
      </c>
      <c r="I125" s="49">
        <v>0</v>
      </c>
      <c r="K125" s="11"/>
    </row>
    <row r="126" spans="1:11" ht="30">
      <c r="A126" s="66" t="s">
        <v>26</v>
      </c>
      <c r="B126" s="74">
        <f t="shared" si="1"/>
        <v>66090</v>
      </c>
      <c r="C126" s="47">
        <f>44781+2317</f>
        <v>47098</v>
      </c>
      <c r="D126" s="47">
        <f>14165+4078+749</f>
        <v>18992</v>
      </c>
      <c r="E126" s="47">
        <v>0</v>
      </c>
      <c r="F126" s="47">
        <v>0</v>
      </c>
      <c r="G126" s="47">
        <v>0</v>
      </c>
      <c r="H126" s="49">
        <v>0</v>
      </c>
      <c r="I126" s="49">
        <v>0</v>
      </c>
      <c r="K126" s="11"/>
    </row>
    <row r="127" spans="1:11" ht="30">
      <c r="A127" s="66" t="s">
        <v>27</v>
      </c>
      <c r="B127" s="74">
        <f t="shared" si="1"/>
        <v>61534</v>
      </c>
      <c r="C127" s="47">
        <f>29093+7596</f>
        <v>36689</v>
      </c>
      <c r="D127" s="47">
        <f>16290+8415+140</f>
        <v>24845</v>
      </c>
      <c r="E127" s="47">
        <v>0</v>
      </c>
      <c r="F127" s="47">
        <v>0</v>
      </c>
      <c r="G127" s="47">
        <v>0</v>
      </c>
      <c r="H127" s="49">
        <v>0</v>
      </c>
      <c r="I127" s="49">
        <v>0</v>
      </c>
      <c r="K127" s="11"/>
    </row>
    <row r="128" spans="1:11" ht="30">
      <c r="A128" s="66" t="s">
        <v>28</v>
      </c>
      <c r="B128" s="74">
        <f t="shared" si="1"/>
        <v>160563</v>
      </c>
      <c r="C128" s="47">
        <f>61582+16172</f>
        <v>77754</v>
      </c>
      <c r="D128" s="47">
        <f>37156+43491+1462</f>
        <v>82109</v>
      </c>
      <c r="E128" s="47">
        <v>0</v>
      </c>
      <c r="F128" s="47">
        <v>0</v>
      </c>
      <c r="G128" s="47">
        <v>700</v>
      </c>
      <c r="H128" s="49">
        <v>0</v>
      </c>
      <c r="I128" s="49">
        <v>0</v>
      </c>
      <c r="K128" s="11"/>
    </row>
    <row r="129" spans="1:11" ht="28.5" customHeight="1">
      <c r="A129" s="66" t="s">
        <v>29</v>
      </c>
      <c r="B129" s="74">
        <f t="shared" si="1"/>
        <v>49507</v>
      </c>
      <c r="C129" s="47">
        <f>26292+6957</f>
        <v>33249</v>
      </c>
      <c r="D129" s="47">
        <f>13275+2783+200</f>
        <v>16258</v>
      </c>
      <c r="E129" s="47">
        <v>0</v>
      </c>
      <c r="F129" s="47">
        <v>0</v>
      </c>
      <c r="G129" s="47">
        <v>0</v>
      </c>
      <c r="H129" s="49">
        <v>0</v>
      </c>
      <c r="I129" s="49">
        <v>0</v>
      </c>
      <c r="K129" s="11"/>
    </row>
    <row r="130" spans="1:11" ht="30">
      <c r="A130" s="66" t="s">
        <v>30</v>
      </c>
      <c r="B130" s="74">
        <f t="shared" si="1"/>
        <v>73148</v>
      </c>
      <c r="C130" s="47">
        <f>37790+10568</f>
        <v>48358</v>
      </c>
      <c r="D130" s="47">
        <f>9620+4575+615</f>
        <v>14810</v>
      </c>
      <c r="E130" s="47">
        <v>0</v>
      </c>
      <c r="F130" s="47">
        <v>0</v>
      </c>
      <c r="G130" s="47">
        <v>9980</v>
      </c>
      <c r="H130" s="49">
        <v>0</v>
      </c>
      <c r="I130" s="49">
        <v>0</v>
      </c>
      <c r="J130" s="45"/>
      <c r="K130" s="11"/>
    </row>
    <row r="131" spans="1:11">
      <c r="A131" s="66" t="s">
        <v>31</v>
      </c>
      <c r="B131" s="74">
        <f t="shared" si="1"/>
        <v>1485118</v>
      </c>
      <c r="C131" s="47">
        <f>595181+167437</f>
        <v>762618</v>
      </c>
      <c r="D131" s="47">
        <f>216+348510+148320+200610</f>
        <v>697656</v>
      </c>
      <c r="E131" s="47">
        <v>0</v>
      </c>
      <c r="F131" s="47">
        <v>0</v>
      </c>
      <c r="G131" s="47">
        <v>24844</v>
      </c>
      <c r="H131" s="49">
        <v>0</v>
      </c>
      <c r="I131" s="49">
        <v>0</v>
      </c>
      <c r="K131" s="11"/>
    </row>
    <row r="132" spans="1:11" ht="29.25" customHeight="1">
      <c r="A132" s="81" t="s">
        <v>32</v>
      </c>
      <c r="B132" s="74">
        <f t="shared" si="1"/>
        <v>276000</v>
      </c>
      <c r="C132" s="47">
        <f>142970+40993</f>
        <v>183963</v>
      </c>
      <c r="D132" s="47">
        <f>8+45830+44499+200</f>
        <v>90537</v>
      </c>
      <c r="E132" s="47">
        <v>0</v>
      </c>
      <c r="F132" s="47">
        <v>0</v>
      </c>
      <c r="G132" s="47">
        <v>1500</v>
      </c>
      <c r="H132" s="49">
        <v>0</v>
      </c>
      <c r="I132" s="49">
        <v>0</v>
      </c>
      <c r="K132" s="11"/>
    </row>
    <row r="133" spans="1:11" ht="44.25" customHeight="1">
      <c r="A133" s="66" t="s">
        <v>218</v>
      </c>
      <c r="B133" s="74">
        <f t="shared" si="1"/>
        <v>55514</v>
      </c>
      <c r="C133" s="47">
        <v>0</v>
      </c>
      <c r="D133" s="47">
        <v>0</v>
      </c>
      <c r="E133" s="47">
        <v>0</v>
      </c>
      <c r="F133" s="47">
        <v>0</v>
      </c>
      <c r="G133" s="47">
        <v>55514</v>
      </c>
      <c r="H133" s="49">
        <v>0</v>
      </c>
      <c r="I133" s="49">
        <v>0</v>
      </c>
      <c r="K133" s="11"/>
    </row>
    <row r="134" spans="1:11" ht="75">
      <c r="A134" s="66" t="s">
        <v>215</v>
      </c>
      <c r="B134" s="74">
        <f t="shared" si="1"/>
        <v>46467</v>
      </c>
      <c r="C134" s="47">
        <f>1740+411</f>
        <v>2151</v>
      </c>
      <c r="D134" s="47">
        <f>1500+2700</f>
        <v>4200</v>
      </c>
      <c r="E134" s="47">
        <v>0</v>
      </c>
      <c r="F134" s="47">
        <v>0</v>
      </c>
      <c r="G134" s="47">
        <v>40116</v>
      </c>
      <c r="H134" s="49">
        <v>0</v>
      </c>
      <c r="I134" s="49">
        <v>0</v>
      </c>
      <c r="K134" s="11"/>
    </row>
    <row r="135" spans="1:11">
      <c r="A135" s="86" t="s">
        <v>360</v>
      </c>
      <c r="B135" s="74">
        <f t="shared" si="1"/>
        <v>2375</v>
      </c>
      <c r="C135" s="47">
        <v>2338</v>
      </c>
      <c r="D135" s="47">
        <v>37</v>
      </c>
      <c r="E135" s="47">
        <v>0</v>
      </c>
      <c r="F135" s="47">
        <v>0</v>
      </c>
      <c r="G135" s="47">
        <v>0</v>
      </c>
      <c r="H135" s="49">
        <v>0</v>
      </c>
      <c r="I135" s="49">
        <v>0</v>
      </c>
      <c r="K135" s="11"/>
    </row>
    <row r="136" spans="1:11" ht="44.25" customHeight="1">
      <c r="A136" s="86" t="s">
        <v>347</v>
      </c>
      <c r="B136" s="74">
        <f t="shared" si="1"/>
        <v>10594</v>
      </c>
      <c r="C136" s="47">
        <v>0</v>
      </c>
      <c r="D136" s="47">
        <v>10594</v>
      </c>
      <c r="E136" s="47">
        <v>0</v>
      </c>
      <c r="F136" s="47">
        <v>0</v>
      </c>
      <c r="G136" s="47">
        <v>0</v>
      </c>
      <c r="H136" s="49">
        <v>0</v>
      </c>
      <c r="I136" s="49">
        <v>0</v>
      </c>
      <c r="J136" s="45"/>
      <c r="K136" s="11"/>
    </row>
    <row r="137" spans="1:11" ht="26.25" customHeight="1">
      <c r="A137" s="86" t="s">
        <v>359</v>
      </c>
      <c r="B137" s="74">
        <f t="shared" si="1"/>
        <v>3550</v>
      </c>
      <c r="C137" s="47">
        <v>0</v>
      </c>
      <c r="D137" s="47">
        <v>3550</v>
      </c>
      <c r="E137" s="47">
        <v>0</v>
      </c>
      <c r="F137" s="47">
        <v>0</v>
      </c>
      <c r="G137" s="47">
        <v>0</v>
      </c>
      <c r="H137" s="49">
        <v>0</v>
      </c>
      <c r="I137" s="49">
        <v>0</v>
      </c>
      <c r="K137" s="11"/>
    </row>
    <row r="138" spans="1:11" ht="15" customHeight="1">
      <c r="A138" s="84" t="s">
        <v>278</v>
      </c>
      <c r="B138" s="74">
        <f t="shared" si="1"/>
        <v>1029</v>
      </c>
      <c r="C138" s="47">
        <v>0</v>
      </c>
      <c r="D138" s="47">
        <v>1029</v>
      </c>
      <c r="E138" s="47">
        <v>0</v>
      </c>
      <c r="F138" s="47">
        <v>0</v>
      </c>
      <c r="G138" s="47">
        <v>0</v>
      </c>
      <c r="H138" s="49">
        <v>0</v>
      </c>
      <c r="I138" s="49">
        <v>0</v>
      </c>
      <c r="K138" s="11"/>
    </row>
    <row r="139" spans="1:11" ht="27" customHeight="1">
      <c r="A139" s="84" t="s">
        <v>277</v>
      </c>
      <c r="B139" s="74">
        <f t="shared" si="1"/>
        <v>800</v>
      </c>
      <c r="C139" s="47">
        <v>0</v>
      </c>
      <c r="D139" s="47">
        <v>800</v>
      </c>
      <c r="E139" s="47">
        <v>0</v>
      </c>
      <c r="F139" s="47">
        <v>0</v>
      </c>
      <c r="G139" s="47">
        <v>0</v>
      </c>
      <c r="H139" s="49">
        <v>0</v>
      </c>
      <c r="I139" s="49">
        <v>0</v>
      </c>
      <c r="K139" s="11"/>
    </row>
    <row r="140" spans="1:11" ht="15" customHeight="1">
      <c r="A140" s="84" t="s">
        <v>276</v>
      </c>
      <c r="B140" s="74">
        <f t="shared" si="1"/>
        <v>6061</v>
      </c>
      <c r="C140" s="47">
        <v>4161</v>
      </c>
      <c r="D140" s="47">
        <v>1900</v>
      </c>
      <c r="E140" s="47">
        <v>0</v>
      </c>
      <c r="F140" s="47">
        <v>0</v>
      </c>
      <c r="G140" s="47">
        <v>0</v>
      </c>
      <c r="H140" s="49">
        <v>0</v>
      </c>
      <c r="I140" s="49">
        <v>0</v>
      </c>
      <c r="K140" s="11"/>
    </row>
    <row r="141" spans="1:11" ht="32.25" customHeight="1">
      <c r="A141" s="84" t="s">
        <v>275</v>
      </c>
      <c r="B141" s="74">
        <f t="shared" si="1"/>
        <v>312430</v>
      </c>
      <c r="C141" s="47">
        <v>149442</v>
      </c>
      <c r="D141" s="47">
        <v>96433</v>
      </c>
      <c r="E141" s="47">
        <v>0</v>
      </c>
      <c r="F141" s="47">
        <v>0</v>
      </c>
      <c r="G141" s="47">
        <v>66555</v>
      </c>
      <c r="H141" s="49">
        <v>0</v>
      </c>
      <c r="I141" s="49">
        <v>0</v>
      </c>
    </row>
    <row r="142" spans="1:11" ht="39" customHeight="1">
      <c r="A142" s="84" t="s">
        <v>274</v>
      </c>
      <c r="B142" s="74">
        <f t="shared" ref="B142:B205" si="2">SUM(C142:I142)</f>
        <v>2066</v>
      </c>
      <c r="C142" s="47">
        <v>0</v>
      </c>
      <c r="D142" s="47">
        <v>2066</v>
      </c>
      <c r="E142" s="47">
        <v>0</v>
      </c>
      <c r="F142" s="47">
        <v>0</v>
      </c>
      <c r="G142" s="47">
        <v>0</v>
      </c>
      <c r="H142" s="49">
        <v>0</v>
      </c>
      <c r="I142" s="49">
        <v>0</v>
      </c>
    </row>
    <row r="143" spans="1:11" ht="40.5" customHeight="1">
      <c r="A143" s="84" t="s">
        <v>273</v>
      </c>
      <c r="B143" s="74">
        <f t="shared" si="2"/>
        <v>50747</v>
      </c>
      <c r="C143" s="47">
        <v>23315</v>
      </c>
      <c r="D143" s="47">
        <v>27432</v>
      </c>
      <c r="E143" s="47">
        <v>0</v>
      </c>
      <c r="F143" s="47">
        <v>0</v>
      </c>
      <c r="G143" s="47">
        <v>0</v>
      </c>
      <c r="H143" s="49">
        <v>0</v>
      </c>
      <c r="I143" s="49">
        <v>0</v>
      </c>
    </row>
    <row r="144" spans="1:11" ht="15" customHeight="1">
      <c r="A144" s="84" t="s">
        <v>272</v>
      </c>
      <c r="B144" s="74">
        <f t="shared" si="2"/>
        <v>1411</v>
      </c>
      <c r="C144" s="47">
        <v>0</v>
      </c>
      <c r="D144" s="47">
        <v>1411</v>
      </c>
      <c r="E144" s="47">
        <v>0</v>
      </c>
      <c r="F144" s="47">
        <v>0</v>
      </c>
      <c r="G144" s="47">
        <v>0</v>
      </c>
      <c r="H144" s="49">
        <v>0</v>
      </c>
      <c r="I144" s="49">
        <v>0</v>
      </c>
    </row>
    <row r="145" spans="1:9" ht="30" customHeight="1">
      <c r="A145" s="84" t="s">
        <v>271</v>
      </c>
      <c r="B145" s="74">
        <f t="shared" si="2"/>
        <v>2402</v>
      </c>
      <c r="C145" s="47">
        <v>0</v>
      </c>
      <c r="D145" s="47">
        <v>2402</v>
      </c>
      <c r="E145" s="47">
        <v>0</v>
      </c>
      <c r="F145" s="47">
        <v>0</v>
      </c>
      <c r="G145" s="47">
        <v>0</v>
      </c>
      <c r="H145" s="49">
        <v>0</v>
      </c>
      <c r="I145" s="49">
        <v>0</v>
      </c>
    </row>
    <row r="146" spans="1:9" ht="27" customHeight="1">
      <c r="A146" s="84" t="s">
        <v>270</v>
      </c>
      <c r="B146" s="74">
        <f t="shared" si="2"/>
        <v>2155</v>
      </c>
      <c r="C146" s="47">
        <v>0</v>
      </c>
      <c r="D146" s="47">
        <v>2155</v>
      </c>
      <c r="E146" s="47">
        <v>0</v>
      </c>
      <c r="F146" s="47">
        <v>0</v>
      </c>
      <c r="G146" s="47">
        <v>0</v>
      </c>
      <c r="H146" s="49">
        <v>0</v>
      </c>
      <c r="I146" s="49">
        <v>0</v>
      </c>
    </row>
    <row r="147" spans="1:9" ht="31.5" customHeight="1">
      <c r="A147" s="84" t="s">
        <v>269</v>
      </c>
      <c r="B147" s="74">
        <f t="shared" si="2"/>
        <v>800</v>
      </c>
      <c r="C147" s="47">
        <v>0</v>
      </c>
      <c r="D147" s="47">
        <v>800</v>
      </c>
      <c r="E147" s="47">
        <v>0</v>
      </c>
      <c r="F147" s="47">
        <v>0</v>
      </c>
      <c r="G147" s="47">
        <v>0</v>
      </c>
      <c r="H147" s="49">
        <v>0</v>
      </c>
      <c r="I147" s="49">
        <v>0</v>
      </c>
    </row>
    <row r="148" spans="1:9" ht="30" customHeight="1">
      <c r="A148" s="84" t="s">
        <v>268</v>
      </c>
      <c r="B148" s="74">
        <f t="shared" si="2"/>
        <v>2520</v>
      </c>
      <c r="C148" s="47">
        <v>0</v>
      </c>
      <c r="D148" s="47">
        <v>2520</v>
      </c>
      <c r="E148" s="47">
        <v>0</v>
      </c>
      <c r="F148" s="47">
        <v>0</v>
      </c>
      <c r="G148" s="47">
        <v>0</v>
      </c>
      <c r="H148" s="49">
        <v>0</v>
      </c>
      <c r="I148" s="49">
        <v>0</v>
      </c>
    </row>
    <row r="149" spans="1:9" ht="28.5" customHeight="1">
      <c r="A149" s="84" t="s">
        <v>267</v>
      </c>
      <c r="B149" s="74">
        <f t="shared" si="2"/>
        <v>2181</v>
      </c>
      <c r="C149" s="50">
        <v>0</v>
      </c>
      <c r="D149" s="50">
        <v>2181</v>
      </c>
      <c r="E149" s="47">
        <v>0</v>
      </c>
      <c r="F149" s="47">
        <v>0</v>
      </c>
      <c r="G149" s="50">
        <v>0</v>
      </c>
      <c r="H149" s="49">
        <v>0</v>
      </c>
      <c r="I149" s="49">
        <v>0</v>
      </c>
    </row>
    <row r="150" spans="1:9" ht="33.75" customHeight="1">
      <c r="A150" s="84" t="s">
        <v>266</v>
      </c>
      <c r="B150" s="74">
        <f t="shared" si="2"/>
        <v>2927</v>
      </c>
      <c r="C150" s="47">
        <v>0</v>
      </c>
      <c r="D150" s="47">
        <v>2927</v>
      </c>
      <c r="E150" s="47">
        <v>0</v>
      </c>
      <c r="F150" s="47">
        <v>0</v>
      </c>
      <c r="G150" s="47">
        <v>0</v>
      </c>
      <c r="H150" s="49">
        <v>0</v>
      </c>
      <c r="I150" s="49">
        <v>0</v>
      </c>
    </row>
    <row r="151" spans="1:9" ht="36" customHeight="1">
      <c r="A151" s="84" t="s">
        <v>265</v>
      </c>
      <c r="B151" s="74">
        <f t="shared" si="2"/>
        <v>20582</v>
      </c>
      <c r="C151" s="47">
        <v>16959</v>
      </c>
      <c r="D151" s="47">
        <v>3623</v>
      </c>
      <c r="E151" s="47">
        <v>0</v>
      </c>
      <c r="F151" s="47">
        <v>0</v>
      </c>
      <c r="G151" s="47">
        <v>0</v>
      </c>
      <c r="H151" s="49">
        <v>0</v>
      </c>
      <c r="I151" s="49">
        <v>0</v>
      </c>
    </row>
    <row r="152" spans="1:9" ht="25.5" customHeight="1">
      <c r="A152" s="84" t="s">
        <v>264</v>
      </c>
      <c r="B152" s="74">
        <f t="shared" si="2"/>
        <v>3950</v>
      </c>
      <c r="C152" s="47">
        <v>0</v>
      </c>
      <c r="D152" s="47">
        <v>3950</v>
      </c>
      <c r="E152" s="47">
        <v>0</v>
      </c>
      <c r="F152" s="47">
        <v>0</v>
      </c>
      <c r="G152" s="47">
        <v>0</v>
      </c>
      <c r="H152" s="49">
        <v>0</v>
      </c>
      <c r="I152" s="49">
        <v>0</v>
      </c>
    </row>
    <row r="153" spans="1:9" ht="29.25" customHeight="1">
      <c r="A153" s="84" t="s">
        <v>263</v>
      </c>
      <c r="B153" s="74">
        <f t="shared" si="2"/>
        <v>82797</v>
      </c>
      <c r="C153" s="47">
        <v>10823</v>
      </c>
      <c r="D153" s="47">
        <v>1974</v>
      </c>
      <c r="E153" s="47">
        <v>0</v>
      </c>
      <c r="F153" s="47">
        <v>0</v>
      </c>
      <c r="G153" s="47">
        <v>70000</v>
      </c>
      <c r="H153" s="49">
        <v>0</v>
      </c>
      <c r="I153" s="49">
        <v>0</v>
      </c>
    </row>
    <row r="154" spans="1:9" ht="37.5" customHeight="1">
      <c r="A154" s="84" t="s">
        <v>262</v>
      </c>
      <c r="B154" s="74">
        <f t="shared" si="2"/>
        <v>27500</v>
      </c>
      <c r="C154" s="47">
        <v>22620</v>
      </c>
      <c r="D154" s="47">
        <v>4880</v>
      </c>
      <c r="E154" s="47">
        <v>0</v>
      </c>
      <c r="F154" s="47">
        <v>0</v>
      </c>
      <c r="G154" s="47">
        <v>0</v>
      </c>
      <c r="H154" s="49">
        <v>0</v>
      </c>
      <c r="I154" s="49">
        <v>0</v>
      </c>
    </row>
    <row r="155" spans="1:9" ht="30" customHeight="1">
      <c r="A155" s="84" t="s">
        <v>261</v>
      </c>
      <c r="B155" s="74">
        <f t="shared" si="2"/>
        <v>4824</v>
      </c>
      <c r="C155" s="50">
        <v>0</v>
      </c>
      <c r="D155" s="50">
        <v>4824</v>
      </c>
      <c r="E155" s="47">
        <v>0</v>
      </c>
      <c r="F155" s="47">
        <v>0</v>
      </c>
      <c r="G155" s="50">
        <v>0</v>
      </c>
      <c r="H155" s="49">
        <v>0</v>
      </c>
      <c r="I155" s="49">
        <v>0</v>
      </c>
    </row>
    <row r="156" spans="1:9" ht="30" customHeight="1">
      <c r="A156" s="84" t="s">
        <v>260</v>
      </c>
      <c r="B156" s="74">
        <f t="shared" si="2"/>
        <v>75258</v>
      </c>
      <c r="C156" s="47">
        <v>26772</v>
      </c>
      <c r="D156" s="47">
        <v>48486</v>
      </c>
      <c r="E156" s="47">
        <v>0</v>
      </c>
      <c r="F156" s="47">
        <v>0</v>
      </c>
      <c r="G156" s="47">
        <v>0</v>
      </c>
      <c r="H156" s="49">
        <v>0</v>
      </c>
      <c r="I156" s="49">
        <v>0</v>
      </c>
    </row>
    <row r="157" spans="1:9" ht="32.25" customHeight="1">
      <c r="A157" s="84" t="s">
        <v>259</v>
      </c>
      <c r="B157" s="74">
        <f t="shared" si="2"/>
        <v>2758</v>
      </c>
      <c r="C157" s="47">
        <v>0</v>
      </c>
      <c r="D157" s="47">
        <v>1738</v>
      </c>
      <c r="E157" s="47">
        <v>0</v>
      </c>
      <c r="F157" s="47">
        <v>0</v>
      </c>
      <c r="G157" s="47">
        <v>1020</v>
      </c>
      <c r="H157" s="49">
        <v>0</v>
      </c>
      <c r="I157" s="49">
        <v>0</v>
      </c>
    </row>
    <row r="158" spans="1:9" ht="32.25" customHeight="1">
      <c r="A158" s="84" t="s">
        <v>258</v>
      </c>
      <c r="B158" s="74">
        <f t="shared" si="2"/>
        <v>2255</v>
      </c>
      <c r="C158" s="50">
        <v>0</v>
      </c>
      <c r="D158" s="50">
        <v>2255</v>
      </c>
      <c r="E158" s="47">
        <v>0</v>
      </c>
      <c r="F158" s="47">
        <v>0</v>
      </c>
      <c r="G158" s="50">
        <v>0</v>
      </c>
      <c r="H158" s="49">
        <v>0</v>
      </c>
      <c r="I158" s="49">
        <v>0</v>
      </c>
    </row>
    <row r="159" spans="1:9" ht="30" customHeight="1">
      <c r="A159" s="84" t="s">
        <v>257</v>
      </c>
      <c r="B159" s="74">
        <f t="shared" si="2"/>
        <v>2967</v>
      </c>
      <c r="C159" s="47">
        <v>0</v>
      </c>
      <c r="D159" s="47">
        <v>2967</v>
      </c>
      <c r="E159" s="47">
        <v>0</v>
      </c>
      <c r="F159" s="47">
        <v>0</v>
      </c>
      <c r="G159" s="47">
        <v>0</v>
      </c>
      <c r="H159" s="49">
        <v>0</v>
      </c>
      <c r="I159" s="49">
        <v>0</v>
      </c>
    </row>
    <row r="160" spans="1:9" ht="30" customHeight="1">
      <c r="A160" s="84" t="s">
        <v>256</v>
      </c>
      <c r="B160" s="74">
        <f t="shared" si="2"/>
        <v>32656</v>
      </c>
      <c r="C160" s="47">
        <v>26449</v>
      </c>
      <c r="D160" s="47">
        <v>6207</v>
      </c>
      <c r="E160" s="47">
        <v>0</v>
      </c>
      <c r="F160" s="47">
        <v>0</v>
      </c>
      <c r="G160" s="47">
        <v>0</v>
      </c>
      <c r="H160" s="49">
        <v>0</v>
      </c>
      <c r="I160" s="49">
        <v>0</v>
      </c>
    </row>
    <row r="161" spans="1:11" ht="33" customHeight="1">
      <c r="A161" s="84" t="s">
        <v>255</v>
      </c>
      <c r="B161" s="74">
        <f t="shared" si="2"/>
        <v>6014</v>
      </c>
      <c r="C161" s="50"/>
      <c r="D161" s="50">
        <v>1668</v>
      </c>
      <c r="E161" s="47">
        <v>0</v>
      </c>
      <c r="F161" s="47">
        <v>0</v>
      </c>
      <c r="G161" s="50">
        <v>4346</v>
      </c>
      <c r="H161" s="49">
        <v>0</v>
      </c>
      <c r="I161" s="49">
        <v>0</v>
      </c>
    </row>
    <row r="162" spans="1:11" ht="42" customHeight="1">
      <c r="A162" s="84" t="s">
        <v>254</v>
      </c>
      <c r="B162" s="74">
        <f t="shared" si="2"/>
        <v>18493</v>
      </c>
      <c r="C162" s="47">
        <v>13993</v>
      </c>
      <c r="D162" s="47">
        <v>4500</v>
      </c>
      <c r="E162" s="47">
        <v>0</v>
      </c>
      <c r="F162" s="47">
        <v>0</v>
      </c>
      <c r="G162" s="47">
        <v>0</v>
      </c>
      <c r="H162" s="49">
        <v>0</v>
      </c>
      <c r="I162" s="49">
        <v>0</v>
      </c>
      <c r="J162" s="45"/>
      <c r="K162" s="11"/>
    </row>
    <row r="163" spans="1:11" ht="32.25" customHeight="1">
      <c r="A163" s="84" t="s">
        <v>253</v>
      </c>
      <c r="B163" s="74">
        <f t="shared" si="2"/>
        <v>4800</v>
      </c>
      <c r="C163" s="47"/>
      <c r="D163" s="47">
        <v>4800</v>
      </c>
      <c r="E163" s="47">
        <v>0</v>
      </c>
      <c r="F163" s="47">
        <v>0</v>
      </c>
      <c r="G163" s="47">
        <v>0</v>
      </c>
      <c r="H163" s="49">
        <v>0</v>
      </c>
      <c r="I163" s="49">
        <v>0</v>
      </c>
      <c r="K163" s="11"/>
    </row>
    <row r="164" spans="1:11" ht="34.5" customHeight="1">
      <c r="A164" s="84" t="s">
        <v>252</v>
      </c>
      <c r="B164" s="74">
        <f t="shared" si="2"/>
        <v>15524</v>
      </c>
      <c r="C164" s="47">
        <v>13003</v>
      </c>
      <c r="D164" s="47">
        <v>2521</v>
      </c>
      <c r="E164" s="47">
        <v>0</v>
      </c>
      <c r="F164" s="47">
        <v>0</v>
      </c>
      <c r="G164" s="47">
        <v>0</v>
      </c>
      <c r="H164" s="49">
        <v>0</v>
      </c>
      <c r="I164" s="49">
        <v>0</v>
      </c>
      <c r="J164" s="45"/>
      <c r="K164" s="11"/>
    </row>
    <row r="165" spans="1:11" ht="28.5" customHeight="1">
      <c r="A165" s="84" t="s">
        <v>251</v>
      </c>
      <c r="B165" s="74">
        <f t="shared" si="2"/>
        <v>61596</v>
      </c>
      <c r="C165" s="47">
        <v>26943</v>
      </c>
      <c r="D165" s="47">
        <v>33453</v>
      </c>
      <c r="E165" s="47">
        <v>0</v>
      </c>
      <c r="F165" s="47">
        <v>0</v>
      </c>
      <c r="G165" s="47">
        <v>1200</v>
      </c>
      <c r="H165" s="49">
        <v>0</v>
      </c>
      <c r="I165" s="49">
        <v>0</v>
      </c>
      <c r="J165" s="45"/>
      <c r="K165" s="11"/>
    </row>
    <row r="166" spans="1:11" ht="31.5" customHeight="1">
      <c r="A166" s="84" t="s">
        <v>346</v>
      </c>
      <c r="B166" s="74">
        <f t="shared" si="2"/>
        <v>7736</v>
      </c>
      <c r="C166" s="47">
        <v>4145</v>
      </c>
      <c r="D166" s="47">
        <v>3591</v>
      </c>
      <c r="E166" s="47">
        <v>0</v>
      </c>
      <c r="F166" s="47">
        <v>0</v>
      </c>
      <c r="G166" s="47">
        <v>0</v>
      </c>
      <c r="H166" s="49">
        <v>0</v>
      </c>
      <c r="I166" s="49">
        <v>0</v>
      </c>
      <c r="J166" s="45"/>
      <c r="K166" s="11"/>
    </row>
    <row r="167" spans="1:11" ht="37.5" customHeight="1">
      <c r="A167" s="84" t="s">
        <v>279</v>
      </c>
      <c r="B167" s="74">
        <f t="shared" si="2"/>
        <v>29098</v>
      </c>
      <c r="C167" s="50"/>
      <c r="D167" s="50">
        <v>21098</v>
      </c>
      <c r="E167" s="47">
        <v>0</v>
      </c>
      <c r="F167" s="47">
        <v>0</v>
      </c>
      <c r="G167" s="50">
        <v>8000</v>
      </c>
      <c r="H167" s="49">
        <v>0</v>
      </c>
      <c r="I167" s="49">
        <v>0</v>
      </c>
      <c r="J167" s="45"/>
      <c r="K167" s="11"/>
    </row>
    <row r="168" spans="1:11" ht="28.5" customHeight="1">
      <c r="A168" s="84" t="s">
        <v>250</v>
      </c>
      <c r="B168" s="74">
        <f t="shared" si="2"/>
        <v>45165</v>
      </c>
      <c r="C168" s="47">
        <v>33954</v>
      </c>
      <c r="D168" s="47">
        <v>11211</v>
      </c>
      <c r="E168" s="47">
        <v>0</v>
      </c>
      <c r="F168" s="47">
        <v>0</v>
      </c>
      <c r="G168" s="47">
        <v>0</v>
      </c>
      <c r="H168" s="49">
        <v>0</v>
      </c>
      <c r="I168" s="49">
        <v>0</v>
      </c>
      <c r="J168" s="45"/>
      <c r="K168" s="11"/>
    </row>
    <row r="169" spans="1:11" ht="32.25" customHeight="1">
      <c r="A169" s="84" t="s">
        <v>249</v>
      </c>
      <c r="B169" s="74">
        <f t="shared" si="2"/>
        <v>86391</v>
      </c>
      <c r="C169" s="47">
        <v>27935</v>
      </c>
      <c r="D169" s="47">
        <v>27577</v>
      </c>
      <c r="E169" s="47">
        <v>0</v>
      </c>
      <c r="F169" s="47">
        <v>0</v>
      </c>
      <c r="G169" s="47">
        <v>30879</v>
      </c>
      <c r="H169" s="49">
        <v>0</v>
      </c>
      <c r="I169" s="49">
        <v>0</v>
      </c>
      <c r="K169" s="11"/>
    </row>
    <row r="170" spans="1:11" ht="31.5" customHeight="1">
      <c r="A170" s="84" t="s">
        <v>248</v>
      </c>
      <c r="B170" s="74">
        <f t="shared" si="2"/>
        <v>3957</v>
      </c>
      <c r="C170" s="47"/>
      <c r="D170" s="47">
        <v>3957</v>
      </c>
      <c r="E170" s="47">
        <v>0</v>
      </c>
      <c r="F170" s="47">
        <v>0</v>
      </c>
      <c r="G170" s="47">
        <v>0</v>
      </c>
      <c r="H170" s="49">
        <v>0</v>
      </c>
      <c r="I170" s="49">
        <v>0</v>
      </c>
    </row>
    <row r="171" spans="1:11" ht="44.25" customHeight="1">
      <c r="A171" s="84" t="s">
        <v>247</v>
      </c>
      <c r="B171" s="74">
        <f t="shared" si="2"/>
        <v>12568</v>
      </c>
      <c r="C171" s="47">
        <v>9470</v>
      </c>
      <c r="D171" s="47">
        <v>3098</v>
      </c>
      <c r="E171" s="47">
        <v>0</v>
      </c>
      <c r="F171" s="47">
        <v>0</v>
      </c>
      <c r="G171" s="47">
        <v>0</v>
      </c>
      <c r="H171" s="49">
        <v>0</v>
      </c>
      <c r="I171" s="49">
        <v>0</v>
      </c>
    </row>
    <row r="172" spans="1:11" ht="37.5" customHeight="1">
      <c r="A172" s="84" t="s">
        <v>246</v>
      </c>
      <c r="B172" s="74">
        <f t="shared" si="2"/>
        <v>6365</v>
      </c>
      <c r="C172" s="47">
        <v>3708</v>
      </c>
      <c r="D172" s="47">
        <v>2657</v>
      </c>
      <c r="E172" s="47">
        <v>0</v>
      </c>
      <c r="F172" s="47">
        <v>0</v>
      </c>
      <c r="G172" s="47">
        <v>0</v>
      </c>
      <c r="H172" s="49">
        <v>0</v>
      </c>
      <c r="I172" s="49">
        <v>0</v>
      </c>
    </row>
    <row r="173" spans="1:11" ht="40.5" customHeight="1">
      <c r="A173" s="85" t="s">
        <v>350</v>
      </c>
      <c r="B173" s="74">
        <f t="shared" si="2"/>
        <v>135503</v>
      </c>
      <c r="C173" s="80">
        <v>52375</v>
      </c>
      <c r="D173" s="80">
        <v>28878</v>
      </c>
      <c r="E173" s="47">
        <v>0</v>
      </c>
      <c r="F173" s="47">
        <v>0</v>
      </c>
      <c r="G173" s="80">
        <v>54250</v>
      </c>
      <c r="H173" s="49">
        <v>0</v>
      </c>
      <c r="I173" s="49">
        <v>0</v>
      </c>
    </row>
    <row r="174" spans="1:11" ht="45" customHeight="1">
      <c r="A174" s="85" t="s">
        <v>351</v>
      </c>
      <c r="B174" s="74">
        <f t="shared" si="2"/>
        <v>170478</v>
      </c>
      <c r="C174" s="80">
        <v>115868</v>
      </c>
      <c r="D174" s="80">
        <v>53610</v>
      </c>
      <c r="E174" s="47">
        <v>0</v>
      </c>
      <c r="F174" s="47">
        <v>0</v>
      </c>
      <c r="G174" s="80">
        <v>1000</v>
      </c>
      <c r="H174" s="49">
        <v>0</v>
      </c>
      <c r="I174" s="49">
        <v>0</v>
      </c>
    </row>
    <row r="175" spans="1:11" ht="51" customHeight="1">
      <c r="A175" s="98" t="s">
        <v>352</v>
      </c>
      <c r="B175" s="74">
        <f t="shared" si="2"/>
        <v>6245</v>
      </c>
      <c r="C175" s="79">
        <v>0</v>
      </c>
      <c r="D175" s="112">
        <v>6245</v>
      </c>
      <c r="E175" s="47">
        <v>0</v>
      </c>
      <c r="F175" s="47">
        <v>0</v>
      </c>
      <c r="G175" s="79">
        <v>0</v>
      </c>
      <c r="H175" s="49">
        <v>0</v>
      </c>
      <c r="I175" s="49">
        <v>0</v>
      </c>
    </row>
    <row r="176" spans="1:11" ht="37.5" customHeight="1">
      <c r="A176" s="98" t="s">
        <v>353</v>
      </c>
      <c r="B176" s="74">
        <f t="shared" si="2"/>
        <v>5840</v>
      </c>
      <c r="C176" s="79">
        <v>0</v>
      </c>
      <c r="D176" s="112">
        <v>5840</v>
      </c>
      <c r="E176" s="47">
        <v>0</v>
      </c>
      <c r="F176" s="47">
        <v>0</v>
      </c>
      <c r="G176" s="79">
        <v>0</v>
      </c>
      <c r="H176" s="49">
        <v>0</v>
      </c>
      <c r="I176" s="49">
        <v>0</v>
      </c>
    </row>
    <row r="177" spans="1:9" ht="47.25" customHeight="1">
      <c r="A177" s="85" t="s">
        <v>348</v>
      </c>
      <c r="B177" s="74">
        <f t="shared" si="2"/>
        <v>61887</v>
      </c>
      <c r="C177" s="80">
        <v>25466</v>
      </c>
      <c r="D177" s="80">
        <v>36421</v>
      </c>
      <c r="E177" s="47">
        <v>0</v>
      </c>
      <c r="F177" s="47">
        <v>0</v>
      </c>
      <c r="G177" s="80">
        <v>0</v>
      </c>
      <c r="H177" s="49">
        <v>0</v>
      </c>
      <c r="I177" s="49">
        <v>0</v>
      </c>
    </row>
    <row r="178" spans="1:9" ht="15" customHeight="1">
      <c r="A178" s="85" t="s">
        <v>349</v>
      </c>
      <c r="B178" s="74">
        <f t="shared" si="2"/>
        <v>10000</v>
      </c>
      <c r="C178" s="79">
        <v>0</v>
      </c>
      <c r="D178" s="80">
        <v>10000</v>
      </c>
      <c r="E178" s="47">
        <v>0</v>
      </c>
      <c r="F178" s="47">
        <v>0</v>
      </c>
      <c r="G178" s="80">
        <v>0</v>
      </c>
      <c r="H178" s="49">
        <v>0</v>
      </c>
      <c r="I178" s="49">
        <v>0</v>
      </c>
    </row>
    <row r="179" spans="1:9" ht="15" customHeight="1">
      <c r="A179" s="85" t="s">
        <v>355</v>
      </c>
      <c r="B179" s="74">
        <f t="shared" si="2"/>
        <v>3700</v>
      </c>
      <c r="C179" s="88">
        <v>0</v>
      </c>
      <c r="D179" s="80">
        <v>3700</v>
      </c>
      <c r="E179" s="47">
        <v>0</v>
      </c>
      <c r="F179" s="47">
        <v>0</v>
      </c>
      <c r="G179" s="88">
        <v>0</v>
      </c>
      <c r="H179" s="49">
        <v>0</v>
      </c>
      <c r="I179" s="49">
        <v>0</v>
      </c>
    </row>
    <row r="180" spans="1:9" ht="33" customHeight="1">
      <c r="A180" s="85" t="s">
        <v>354</v>
      </c>
      <c r="B180" s="74">
        <f t="shared" si="2"/>
        <v>1800</v>
      </c>
      <c r="C180" s="115">
        <v>0</v>
      </c>
      <c r="D180" s="94">
        <v>1800</v>
      </c>
      <c r="E180" s="47">
        <v>0</v>
      </c>
      <c r="F180" s="47">
        <v>0</v>
      </c>
      <c r="G180" s="115">
        <v>0</v>
      </c>
      <c r="H180" s="49">
        <v>0</v>
      </c>
      <c r="I180" s="49">
        <v>0</v>
      </c>
    </row>
    <row r="181" spans="1:9" ht="19.5" customHeight="1">
      <c r="A181" s="103" t="s">
        <v>366</v>
      </c>
      <c r="B181" s="74">
        <f t="shared" si="2"/>
        <v>17829</v>
      </c>
      <c r="C181" s="116">
        <v>0</v>
      </c>
      <c r="D181" s="97">
        <f>252+8107</f>
        <v>8359</v>
      </c>
      <c r="E181" s="47">
        <v>0</v>
      </c>
      <c r="F181" s="47">
        <v>0</v>
      </c>
      <c r="G181" s="116">
        <v>9470</v>
      </c>
      <c r="H181" s="49">
        <v>0</v>
      </c>
      <c r="I181" s="49">
        <v>0</v>
      </c>
    </row>
    <row r="182" spans="1:9" ht="36.75" customHeight="1">
      <c r="A182" s="66" t="s">
        <v>33</v>
      </c>
      <c r="B182" s="74">
        <f t="shared" si="2"/>
        <v>12378</v>
      </c>
      <c r="C182" s="47">
        <f>8160+2000</f>
        <v>10160</v>
      </c>
      <c r="D182" s="47">
        <f>96+495+1627</f>
        <v>2218</v>
      </c>
      <c r="E182" s="47">
        <v>0</v>
      </c>
      <c r="F182" s="47">
        <v>0</v>
      </c>
      <c r="G182" s="47">
        <v>0</v>
      </c>
      <c r="H182" s="49">
        <v>0</v>
      </c>
      <c r="I182" s="49">
        <v>0</v>
      </c>
    </row>
    <row r="183" spans="1:9" ht="37.5" customHeight="1">
      <c r="A183" s="66" t="s">
        <v>34</v>
      </c>
      <c r="B183" s="74">
        <f t="shared" si="2"/>
        <v>11700</v>
      </c>
      <c r="C183" s="47">
        <f>8160+2090</f>
        <v>10250</v>
      </c>
      <c r="D183" s="47">
        <f>170+1280</f>
        <v>1450</v>
      </c>
      <c r="E183" s="47">
        <v>0</v>
      </c>
      <c r="F183" s="47">
        <v>0</v>
      </c>
      <c r="G183" s="47">
        <v>0</v>
      </c>
      <c r="H183" s="49">
        <v>0</v>
      </c>
      <c r="I183" s="49">
        <v>0</v>
      </c>
    </row>
    <row r="184" spans="1:9" ht="36" customHeight="1">
      <c r="A184" s="66" t="s">
        <v>35</v>
      </c>
      <c r="B184" s="74">
        <f t="shared" si="2"/>
        <v>11717</v>
      </c>
      <c r="C184" s="47">
        <f>8317+1995</f>
        <v>10312</v>
      </c>
      <c r="D184" s="47">
        <f>100+640+665</f>
        <v>1405</v>
      </c>
      <c r="E184" s="47">
        <v>0</v>
      </c>
      <c r="F184" s="47">
        <v>0</v>
      </c>
      <c r="G184" s="47">
        <v>0</v>
      </c>
      <c r="H184" s="49">
        <v>0</v>
      </c>
      <c r="I184" s="49">
        <v>0</v>
      </c>
    </row>
    <row r="185" spans="1:9" ht="29.25" customHeight="1">
      <c r="A185" s="84" t="s">
        <v>280</v>
      </c>
      <c r="B185" s="74">
        <f t="shared" si="2"/>
        <v>9216</v>
      </c>
      <c r="C185" s="47">
        <v>6634</v>
      </c>
      <c r="D185" s="47">
        <v>2582</v>
      </c>
      <c r="E185" s="47">
        <v>0</v>
      </c>
      <c r="F185" s="47">
        <v>0</v>
      </c>
      <c r="G185" s="47">
        <v>0</v>
      </c>
      <c r="H185" s="49">
        <v>0</v>
      </c>
      <c r="I185" s="49">
        <v>0</v>
      </c>
    </row>
    <row r="186" spans="1:9" ht="31.5" customHeight="1">
      <c r="A186" s="66" t="s">
        <v>36</v>
      </c>
      <c r="B186" s="74">
        <f t="shared" si="2"/>
        <v>11072</v>
      </c>
      <c r="C186" s="47">
        <f>8160+2000</f>
        <v>10160</v>
      </c>
      <c r="D186" s="47">
        <f>312+600</f>
        <v>912</v>
      </c>
      <c r="E186" s="47">
        <v>0</v>
      </c>
      <c r="F186" s="47">
        <v>0</v>
      </c>
      <c r="G186" s="47">
        <v>0</v>
      </c>
      <c r="H186" s="49">
        <v>0</v>
      </c>
      <c r="I186" s="49">
        <v>0</v>
      </c>
    </row>
    <row r="187" spans="1:9" ht="49.5" customHeight="1">
      <c r="A187" s="85" t="s">
        <v>293</v>
      </c>
      <c r="B187" s="74">
        <f t="shared" si="2"/>
        <v>12932</v>
      </c>
      <c r="C187" s="80">
        <v>10751</v>
      </c>
      <c r="D187" s="80">
        <v>2181</v>
      </c>
      <c r="E187" s="79">
        <v>0</v>
      </c>
      <c r="F187" s="79">
        <v>0</v>
      </c>
      <c r="G187" s="79">
        <v>0</v>
      </c>
      <c r="H187" s="79">
        <v>0</v>
      </c>
      <c r="I187" s="79">
        <v>0</v>
      </c>
    </row>
    <row r="188" spans="1:9" ht="15" customHeight="1">
      <c r="A188" s="84" t="s">
        <v>281</v>
      </c>
      <c r="B188" s="74">
        <f t="shared" si="2"/>
        <v>12458</v>
      </c>
      <c r="C188" s="47">
        <v>10029</v>
      </c>
      <c r="D188" s="47">
        <v>2429</v>
      </c>
      <c r="E188" s="47">
        <v>0</v>
      </c>
      <c r="F188" s="47">
        <v>0</v>
      </c>
      <c r="G188" s="47">
        <v>0</v>
      </c>
      <c r="H188" s="49">
        <v>0</v>
      </c>
      <c r="I188" s="49">
        <v>0</v>
      </c>
    </row>
    <row r="189" spans="1:9" ht="33" customHeight="1">
      <c r="A189" s="66" t="s">
        <v>37</v>
      </c>
      <c r="B189" s="74">
        <f t="shared" si="2"/>
        <v>12336</v>
      </c>
      <c r="C189" s="47">
        <f>8160+2000</f>
        <v>10160</v>
      </c>
      <c r="D189" s="47">
        <f>640+1536</f>
        <v>2176</v>
      </c>
      <c r="E189" s="47">
        <v>0</v>
      </c>
      <c r="F189" s="47">
        <v>0</v>
      </c>
      <c r="G189" s="47"/>
      <c r="H189" s="49">
        <v>0</v>
      </c>
      <c r="I189" s="49">
        <v>0</v>
      </c>
    </row>
    <row r="190" spans="1:9" ht="30.75" customHeight="1">
      <c r="A190" s="66" t="s">
        <v>38</v>
      </c>
      <c r="B190" s="74">
        <f t="shared" si="2"/>
        <v>11103</v>
      </c>
      <c r="C190" s="47">
        <f>7302+1754</f>
        <v>9056</v>
      </c>
      <c r="D190" s="47">
        <f>964+1083</f>
        <v>2047</v>
      </c>
      <c r="E190" s="47">
        <v>0</v>
      </c>
      <c r="F190" s="47">
        <v>0</v>
      </c>
      <c r="G190" s="47">
        <v>0</v>
      </c>
      <c r="H190" s="49">
        <v>0</v>
      </c>
      <c r="I190" s="49">
        <v>0</v>
      </c>
    </row>
    <row r="191" spans="1:9" ht="35.25" customHeight="1">
      <c r="A191" s="85" t="s">
        <v>291</v>
      </c>
      <c r="B191" s="74">
        <f t="shared" si="2"/>
        <v>42007</v>
      </c>
      <c r="C191" s="80">
        <v>26116</v>
      </c>
      <c r="D191" s="80">
        <v>15891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</row>
    <row r="192" spans="1:9" ht="50.25" customHeight="1">
      <c r="A192" s="90" t="s">
        <v>157</v>
      </c>
      <c r="B192" s="74">
        <f t="shared" si="2"/>
        <v>33300</v>
      </c>
      <c r="C192" s="47">
        <v>0</v>
      </c>
      <c r="D192" s="47">
        <v>33300</v>
      </c>
      <c r="E192" s="47">
        <v>0</v>
      </c>
      <c r="F192" s="89">
        <v>0</v>
      </c>
      <c r="G192" s="47">
        <v>0</v>
      </c>
      <c r="H192" s="47">
        <v>0</v>
      </c>
      <c r="I192" s="47">
        <v>0</v>
      </c>
    </row>
    <row r="193" spans="1:9" ht="72" customHeight="1">
      <c r="A193" s="85" t="s">
        <v>292</v>
      </c>
      <c r="B193" s="74">
        <f t="shared" si="2"/>
        <v>3071</v>
      </c>
      <c r="C193" s="88">
        <v>0</v>
      </c>
      <c r="D193" s="79">
        <v>3071</v>
      </c>
      <c r="E193" s="79">
        <v>0</v>
      </c>
      <c r="F193" s="79">
        <v>0</v>
      </c>
      <c r="G193" s="79">
        <v>0</v>
      </c>
      <c r="H193" s="88">
        <v>0</v>
      </c>
      <c r="I193" s="79">
        <v>0</v>
      </c>
    </row>
    <row r="194" spans="1:9" ht="33.75" customHeight="1">
      <c r="A194" s="114" t="s">
        <v>358</v>
      </c>
      <c r="B194" s="74">
        <f t="shared" si="2"/>
        <v>2523</v>
      </c>
      <c r="C194" s="47">
        <v>979</v>
      </c>
      <c r="D194" s="47">
        <v>1544</v>
      </c>
      <c r="E194" s="47"/>
      <c r="F194" s="47"/>
      <c r="G194" s="47"/>
      <c r="H194" s="49"/>
      <c r="I194" s="49"/>
    </row>
    <row r="195" spans="1:9" ht="54" customHeight="1">
      <c r="A195" s="84" t="s">
        <v>294</v>
      </c>
      <c r="B195" s="74">
        <f t="shared" si="2"/>
        <v>16836</v>
      </c>
      <c r="C195" s="47">
        <v>2065</v>
      </c>
      <c r="D195" s="47">
        <v>14771</v>
      </c>
      <c r="E195" s="47">
        <v>0</v>
      </c>
      <c r="F195" s="47">
        <v>0</v>
      </c>
      <c r="G195" s="47">
        <v>0</v>
      </c>
      <c r="H195" s="49">
        <v>0</v>
      </c>
      <c r="I195" s="49">
        <v>0</v>
      </c>
    </row>
    <row r="196" spans="1:9" ht="41.25" customHeight="1">
      <c r="A196" s="84" t="s">
        <v>471</v>
      </c>
      <c r="B196" s="74">
        <f t="shared" si="2"/>
        <v>7000</v>
      </c>
      <c r="C196" s="47"/>
      <c r="D196" s="47">
        <v>7000</v>
      </c>
      <c r="E196" s="47"/>
      <c r="F196" s="47"/>
      <c r="G196" s="47"/>
      <c r="H196" s="49"/>
      <c r="I196" s="49"/>
    </row>
    <row r="197" spans="1:9" ht="25.5" customHeight="1">
      <c r="A197" s="66" t="s">
        <v>39</v>
      </c>
      <c r="B197" s="74">
        <f t="shared" si="2"/>
        <v>16863</v>
      </c>
      <c r="C197" s="47">
        <f>10050+3100</f>
        <v>13150</v>
      </c>
      <c r="D197" s="47">
        <f>1653+2060</f>
        <v>3713</v>
      </c>
      <c r="E197" s="47">
        <v>0</v>
      </c>
      <c r="F197" s="47">
        <v>0</v>
      </c>
      <c r="G197" s="47">
        <v>0</v>
      </c>
      <c r="H197" s="49">
        <v>0</v>
      </c>
      <c r="I197" s="49">
        <v>0</v>
      </c>
    </row>
    <row r="198" spans="1:9" ht="36" customHeight="1">
      <c r="A198" s="66" t="s">
        <v>208</v>
      </c>
      <c r="B198" s="74">
        <f t="shared" si="2"/>
        <v>22701</v>
      </c>
      <c r="C198" s="47">
        <v>2680</v>
      </c>
      <c r="D198" s="47">
        <f>3758+8800+7463</f>
        <v>20021</v>
      </c>
      <c r="E198" s="47">
        <v>0</v>
      </c>
      <c r="F198" s="47">
        <v>0</v>
      </c>
      <c r="G198" s="47">
        <v>0</v>
      </c>
      <c r="H198" s="49">
        <v>0</v>
      </c>
      <c r="I198" s="49">
        <v>0</v>
      </c>
    </row>
    <row r="199" spans="1:9" ht="29.25" customHeight="1">
      <c r="A199" s="66" t="s">
        <v>40</v>
      </c>
      <c r="B199" s="74">
        <f t="shared" si="2"/>
        <v>14489</v>
      </c>
      <c r="C199" s="47">
        <f>300+73</f>
        <v>373</v>
      </c>
      <c r="D199" s="47">
        <f>5154+2402+6560</f>
        <v>14116</v>
      </c>
      <c r="E199" s="47">
        <v>0</v>
      </c>
      <c r="F199" s="47">
        <v>0</v>
      </c>
      <c r="G199" s="47">
        <v>0</v>
      </c>
      <c r="H199" s="49">
        <v>0</v>
      </c>
      <c r="I199" s="49">
        <v>0</v>
      </c>
    </row>
    <row r="200" spans="1:9" ht="36" customHeight="1">
      <c r="A200" s="66" t="s">
        <v>144</v>
      </c>
      <c r="B200" s="74">
        <f t="shared" si="2"/>
        <v>2809</v>
      </c>
      <c r="C200" s="47">
        <f>1800+519</f>
        <v>2319</v>
      </c>
      <c r="D200" s="47">
        <v>490</v>
      </c>
      <c r="E200" s="47">
        <v>0</v>
      </c>
      <c r="F200" s="47">
        <v>0</v>
      </c>
      <c r="G200" s="47">
        <v>0</v>
      </c>
      <c r="H200" s="49">
        <v>0</v>
      </c>
      <c r="I200" s="49">
        <v>0</v>
      </c>
    </row>
    <row r="201" spans="1:9" ht="35.25" customHeight="1">
      <c r="A201" s="66" t="s">
        <v>164</v>
      </c>
      <c r="B201" s="74">
        <f t="shared" si="2"/>
        <v>30999</v>
      </c>
      <c r="C201" s="47">
        <f>13890+3876</f>
        <v>17766</v>
      </c>
      <c r="D201" s="47">
        <f>4691+7032</f>
        <v>11723</v>
      </c>
      <c r="E201" s="47">
        <v>0</v>
      </c>
      <c r="F201" s="47">
        <v>0</v>
      </c>
      <c r="G201" s="47">
        <v>1510</v>
      </c>
      <c r="H201" s="49">
        <v>0</v>
      </c>
      <c r="I201" s="49">
        <v>0</v>
      </c>
    </row>
    <row r="202" spans="1:9" ht="25.5" customHeight="1">
      <c r="A202" s="66" t="s">
        <v>41</v>
      </c>
      <c r="B202" s="74">
        <f t="shared" si="2"/>
        <v>5447</v>
      </c>
      <c r="C202" s="47">
        <f>3600+1047</f>
        <v>4647</v>
      </c>
      <c r="D202" s="47">
        <f>200+600</f>
        <v>800</v>
      </c>
      <c r="E202" s="47">
        <v>0</v>
      </c>
      <c r="F202" s="47">
        <v>0</v>
      </c>
      <c r="G202" s="47">
        <v>0</v>
      </c>
      <c r="H202" s="49">
        <v>0</v>
      </c>
      <c r="I202" s="49">
        <v>0</v>
      </c>
    </row>
    <row r="203" spans="1:9" ht="24" customHeight="1">
      <c r="A203" s="66" t="s">
        <v>42</v>
      </c>
      <c r="B203" s="74">
        <f t="shared" si="2"/>
        <v>2110</v>
      </c>
      <c r="C203" s="47">
        <f>1440+415</f>
        <v>1855</v>
      </c>
      <c r="D203" s="47">
        <v>255</v>
      </c>
      <c r="E203" s="47">
        <v>0</v>
      </c>
      <c r="F203" s="47">
        <v>0</v>
      </c>
      <c r="G203" s="47">
        <v>0</v>
      </c>
      <c r="H203" s="49">
        <v>0</v>
      </c>
      <c r="I203" s="49">
        <v>0</v>
      </c>
    </row>
    <row r="204" spans="1:9" ht="24" customHeight="1">
      <c r="A204" s="66" t="s">
        <v>367</v>
      </c>
      <c r="B204" s="74">
        <f t="shared" si="2"/>
        <v>1276</v>
      </c>
      <c r="C204" s="47">
        <v>1276</v>
      </c>
      <c r="D204" s="47"/>
      <c r="E204" s="47"/>
      <c r="F204" s="47"/>
      <c r="G204" s="47"/>
      <c r="H204" s="49"/>
      <c r="I204" s="49"/>
    </row>
    <row r="205" spans="1:9" ht="21" customHeight="1">
      <c r="A205" s="84" t="s">
        <v>297</v>
      </c>
      <c r="B205" s="74">
        <f t="shared" si="2"/>
        <v>6119</v>
      </c>
      <c r="C205" s="47">
        <v>3578</v>
      </c>
      <c r="D205" s="47">
        <v>2541</v>
      </c>
      <c r="E205" s="47">
        <v>0</v>
      </c>
      <c r="F205" s="47">
        <v>0</v>
      </c>
      <c r="G205" s="47">
        <v>0</v>
      </c>
      <c r="H205" s="49">
        <v>0</v>
      </c>
      <c r="I205" s="49">
        <v>0</v>
      </c>
    </row>
    <row r="206" spans="1:9" ht="28.5" customHeight="1">
      <c r="A206" s="84" t="s">
        <v>296</v>
      </c>
      <c r="B206" s="74">
        <f t="shared" ref="B206:B269" si="3">SUM(C206:I206)</f>
        <v>5003</v>
      </c>
      <c r="C206" s="47">
        <v>3578</v>
      </c>
      <c r="D206" s="47">
        <v>1425</v>
      </c>
      <c r="E206" s="47">
        <v>0</v>
      </c>
      <c r="F206" s="47">
        <v>0</v>
      </c>
      <c r="G206" s="47">
        <v>0</v>
      </c>
      <c r="H206" s="49">
        <v>0</v>
      </c>
      <c r="I206" s="49">
        <v>0</v>
      </c>
    </row>
    <row r="207" spans="1:9" ht="30">
      <c r="A207" s="84" t="s">
        <v>295</v>
      </c>
      <c r="B207" s="74">
        <f t="shared" si="3"/>
        <v>13032</v>
      </c>
      <c r="C207" s="47">
        <v>9329</v>
      </c>
      <c r="D207" s="47">
        <v>3703</v>
      </c>
      <c r="E207" s="47">
        <v>0</v>
      </c>
      <c r="F207" s="47">
        <v>0</v>
      </c>
      <c r="G207" s="47">
        <v>0</v>
      </c>
      <c r="H207" s="49">
        <v>0</v>
      </c>
      <c r="I207" s="49">
        <v>0</v>
      </c>
    </row>
    <row r="208" spans="1:9">
      <c r="A208" s="66" t="s">
        <v>43</v>
      </c>
      <c r="B208" s="74">
        <f t="shared" si="3"/>
        <v>275576</v>
      </c>
      <c r="C208" s="47">
        <f>176673+51823</f>
        <v>228496</v>
      </c>
      <c r="D208" s="47">
        <f>384+16006+6400+7780</f>
        <v>30570</v>
      </c>
      <c r="E208" s="47">
        <v>0</v>
      </c>
      <c r="F208" s="47">
        <v>0</v>
      </c>
      <c r="G208" s="47">
        <v>16510</v>
      </c>
      <c r="H208" s="49">
        <v>0</v>
      </c>
      <c r="I208" s="49">
        <v>0</v>
      </c>
    </row>
    <row r="209" spans="1:9">
      <c r="A209" s="119" t="s">
        <v>368</v>
      </c>
      <c r="B209" s="74">
        <f t="shared" si="3"/>
        <v>21169</v>
      </c>
      <c r="C209" s="47">
        <v>15217</v>
      </c>
      <c r="D209" s="47">
        <v>2255</v>
      </c>
      <c r="E209" s="47"/>
      <c r="F209" s="47"/>
      <c r="G209" s="105">
        <v>3501</v>
      </c>
      <c r="H209" s="49"/>
      <c r="I209" s="106">
        <v>196</v>
      </c>
    </row>
    <row r="210" spans="1:9">
      <c r="A210" s="85" t="s">
        <v>285</v>
      </c>
      <c r="B210" s="74">
        <f t="shared" si="3"/>
        <v>23816</v>
      </c>
      <c r="C210" s="107">
        <v>19381</v>
      </c>
      <c r="D210" s="107">
        <v>2038</v>
      </c>
      <c r="E210" s="120">
        <v>0</v>
      </c>
      <c r="F210" s="120">
        <v>0</v>
      </c>
      <c r="G210" s="80">
        <v>2200</v>
      </c>
      <c r="H210" s="49">
        <v>0</v>
      </c>
      <c r="I210" s="80">
        <v>197</v>
      </c>
    </row>
    <row r="211" spans="1:9" ht="30.6" customHeight="1">
      <c r="A211" s="85" t="s">
        <v>286</v>
      </c>
      <c r="B211" s="74">
        <f t="shared" si="3"/>
        <v>20023</v>
      </c>
      <c r="C211" s="80">
        <v>15532</v>
      </c>
      <c r="D211" s="80">
        <v>1862</v>
      </c>
      <c r="E211" s="47">
        <v>0</v>
      </c>
      <c r="F211" s="79">
        <v>0</v>
      </c>
      <c r="G211" s="80">
        <v>2432</v>
      </c>
      <c r="H211" s="49">
        <v>0</v>
      </c>
      <c r="I211" s="80">
        <v>197</v>
      </c>
    </row>
    <row r="212" spans="1:9">
      <c r="A212" s="85" t="s">
        <v>287</v>
      </c>
      <c r="B212" s="74">
        <f t="shared" si="3"/>
        <v>13817</v>
      </c>
      <c r="C212" s="80">
        <v>10411</v>
      </c>
      <c r="D212" s="80">
        <v>1859</v>
      </c>
      <c r="E212" s="47">
        <v>0</v>
      </c>
      <c r="F212" s="79">
        <v>0</v>
      </c>
      <c r="G212" s="80">
        <v>1350</v>
      </c>
      <c r="H212" s="49">
        <v>0</v>
      </c>
      <c r="I212" s="80">
        <v>197</v>
      </c>
    </row>
    <row r="213" spans="1:9">
      <c r="A213" s="85" t="s">
        <v>288</v>
      </c>
      <c r="B213" s="74">
        <f t="shared" si="3"/>
        <v>12469</v>
      </c>
      <c r="C213" s="80">
        <v>10122</v>
      </c>
      <c r="D213" s="80">
        <v>1350</v>
      </c>
      <c r="E213" s="47">
        <v>0</v>
      </c>
      <c r="F213" s="79">
        <v>0</v>
      </c>
      <c r="G213" s="80">
        <v>800</v>
      </c>
      <c r="H213" s="49">
        <v>0</v>
      </c>
      <c r="I213" s="80">
        <v>197</v>
      </c>
    </row>
    <row r="214" spans="1:9">
      <c r="A214" s="84" t="s">
        <v>304</v>
      </c>
      <c r="B214" s="74">
        <f t="shared" si="3"/>
        <v>52874</v>
      </c>
      <c r="C214" s="47">
        <v>39352</v>
      </c>
      <c r="D214" s="47">
        <v>9566</v>
      </c>
      <c r="E214" s="47">
        <v>1600</v>
      </c>
      <c r="F214" s="47">
        <v>0</v>
      </c>
      <c r="G214" s="47"/>
      <c r="H214" s="49">
        <v>0</v>
      </c>
      <c r="I214" s="49">
        <v>2356</v>
      </c>
    </row>
    <row r="215" spans="1:9">
      <c r="A215" s="84" t="s">
        <v>303</v>
      </c>
      <c r="B215" s="74">
        <f t="shared" si="3"/>
        <v>11244</v>
      </c>
      <c r="C215" s="47">
        <v>8424</v>
      </c>
      <c r="D215" s="47">
        <v>2400</v>
      </c>
      <c r="E215" s="47">
        <v>0</v>
      </c>
      <c r="F215" s="47">
        <v>0</v>
      </c>
      <c r="G215" s="47">
        <v>420</v>
      </c>
      <c r="H215" s="49">
        <v>0</v>
      </c>
      <c r="I215" s="49">
        <v>0</v>
      </c>
    </row>
    <row r="216" spans="1:9">
      <c r="A216" s="84" t="s">
        <v>302</v>
      </c>
      <c r="B216" s="74">
        <f t="shared" si="3"/>
        <v>11623</v>
      </c>
      <c r="C216" s="47">
        <v>9260</v>
      </c>
      <c r="D216" s="47">
        <v>1863</v>
      </c>
      <c r="E216" s="47">
        <v>0</v>
      </c>
      <c r="F216" s="47">
        <v>0</v>
      </c>
      <c r="G216" s="47">
        <v>500</v>
      </c>
      <c r="H216" s="49">
        <v>0</v>
      </c>
      <c r="I216" s="49">
        <v>0</v>
      </c>
    </row>
    <row r="217" spans="1:9">
      <c r="A217" s="84" t="s">
        <v>301</v>
      </c>
      <c r="B217" s="74">
        <f t="shared" si="3"/>
        <v>12633</v>
      </c>
      <c r="C217" s="47">
        <v>8951</v>
      </c>
      <c r="D217" s="47">
        <v>2582</v>
      </c>
      <c r="E217" s="47">
        <v>0</v>
      </c>
      <c r="F217" s="47">
        <v>0</v>
      </c>
      <c r="G217" s="47">
        <v>1100</v>
      </c>
      <c r="H217" s="49">
        <v>0</v>
      </c>
      <c r="I217" s="49">
        <v>0</v>
      </c>
    </row>
    <row r="218" spans="1:9" ht="30">
      <c r="A218" s="84" t="s">
        <v>300</v>
      </c>
      <c r="B218" s="74">
        <f t="shared" si="3"/>
        <v>9522</v>
      </c>
      <c r="C218" s="47">
        <v>8269</v>
      </c>
      <c r="D218" s="47">
        <v>793</v>
      </c>
      <c r="E218" s="47">
        <v>0</v>
      </c>
      <c r="F218" s="47">
        <v>0</v>
      </c>
      <c r="G218" s="47">
        <v>460</v>
      </c>
      <c r="H218" s="49">
        <v>0</v>
      </c>
      <c r="I218" s="49">
        <v>0</v>
      </c>
    </row>
    <row r="219" spans="1:9">
      <c r="A219" s="84" t="s">
        <v>299</v>
      </c>
      <c r="B219" s="74">
        <f t="shared" si="3"/>
        <v>9484</v>
      </c>
      <c r="C219" s="47">
        <v>8424</v>
      </c>
      <c r="D219" s="47">
        <v>650</v>
      </c>
      <c r="E219" s="47">
        <v>0</v>
      </c>
      <c r="F219" s="47">
        <v>0</v>
      </c>
      <c r="G219" s="47">
        <v>410</v>
      </c>
      <c r="H219" s="49">
        <v>0</v>
      </c>
      <c r="I219" s="49">
        <v>0</v>
      </c>
    </row>
    <row r="220" spans="1:9">
      <c r="A220" s="84" t="s">
        <v>298</v>
      </c>
      <c r="B220" s="74">
        <f t="shared" si="3"/>
        <v>12056</v>
      </c>
      <c r="C220" s="50">
        <v>8951</v>
      </c>
      <c r="D220" s="50">
        <v>2525</v>
      </c>
      <c r="E220" s="50">
        <v>0</v>
      </c>
      <c r="F220" s="50">
        <v>0</v>
      </c>
      <c r="G220" s="50">
        <v>580</v>
      </c>
      <c r="H220" s="49">
        <v>0</v>
      </c>
      <c r="I220" s="51">
        <v>0</v>
      </c>
    </row>
    <row r="221" spans="1:9">
      <c r="A221" s="85" t="s">
        <v>308</v>
      </c>
      <c r="B221" s="74">
        <f t="shared" si="3"/>
        <v>9700</v>
      </c>
      <c r="C221" s="80">
        <v>8654</v>
      </c>
      <c r="D221" s="80">
        <v>1046</v>
      </c>
      <c r="E221" s="79">
        <v>0</v>
      </c>
      <c r="F221" s="79">
        <v>0</v>
      </c>
      <c r="G221" s="79">
        <v>0</v>
      </c>
      <c r="H221" s="79">
        <v>0</v>
      </c>
      <c r="I221" s="79">
        <v>0</v>
      </c>
    </row>
    <row r="222" spans="1:9">
      <c r="A222" s="67" t="s">
        <v>199</v>
      </c>
      <c r="B222" s="74">
        <f t="shared" si="3"/>
        <v>130303</v>
      </c>
      <c r="C222" s="47">
        <f>77644+22709</f>
        <v>100353</v>
      </c>
      <c r="D222" s="47">
        <f>268+26167+3515</f>
        <v>29950</v>
      </c>
      <c r="E222" s="47">
        <v>0</v>
      </c>
      <c r="F222" s="47">
        <v>0</v>
      </c>
      <c r="G222" s="47">
        <v>0</v>
      </c>
      <c r="H222" s="49">
        <v>0</v>
      </c>
      <c r="I222" s="49">
        <v>0</v>
      </c>
    </row>
    <row r="223" spans="1:9">
      <c r="A223" s="67" t="s">
        <v>369</v>
      </c>
      <c r="B223" s="74">
        <f t="shared" si="3"/>
        <v>99934</v>
      </c>
      <c r="C223" s="47">
        <v>34363</v>
      </c>
      <c r="D223" s="47">
        <v>9020</v>
      </c>
      <c r="E223" s="47"/>
      <c r="F223" s="47"/>
      <c r="G223" s="47">
        <v>56551</v>
      </c>
      <c r="H223" s="49"/>
      <c r="I223" s="49"/>
    </row>
    <row r="224" spans="1:9">
      <c r="A224" s="84" t="s">
        <v>307</v>
      </c>
      <c r="B224" s="74">
        <f t="shared" si="3"/>
        <v>65134</v>
      </c>
      <c r="C224" s="47">
        <v>38336</v>
      </c>
      <c r="D224" s="47">
        <v>26041</v>
      </c>
      <c r="E224" s="47">
        <v>0</v>
      </c>
      <c r="F224" s="47">
        <v>0</v>
      </c>
      <c r="G224" s="47">
        <v>757</v>
      </c>
      <c r="H224" s="49">
        <v>0</v>
      </c>
      <c r="I224" s="49">
        <v>0</v>
      </c>
    </row>
    <row r="225" spans="1:9" ht="30">
      <c r="A225" s="84" t="s">
        <v>306</v>
      </c>
      <c r="B225" s="74">
        <f t="shared" si="3"/>
        <v>15013</v>
      </c>
      <c r="C225" s="47">
        <v>10530</v>
      </c>
      <c r="D225" s="47">
        <v>2983</v>
      </c>
      <c r="E225" s="47">
        <v>0</v>
      </c>
      <c r="F225" s="47">
        <v>0</v>
      </c>
      <c r="G225" s="47">
        <v>1500</v>
      </c>
      <c r="H225" s="49">
        <v>0</v>
      </c>
      <c r="I225" s="49">
        <v>0</v>
      </c>
    </row>
    <row r="226" spans="1:9" ht="30">
      <c r="A226" s="84" t="s">
        <v>305</v>
      </c>
      <c r="B226" s="74">
        <f t="shared" si="3"/>
        <v>8007</v>
      </c>
      <c r="C226" s="47">
        <v>7537</v>
      </c>
      <c r="D226" s="47">
        <v>470</v>
      </c>
      <c r="E226" s="47">
        <v>0</v>
      </c>
      <c r="F226" s="47">
        <v>0</v>
      </c>
      <c r="G226" s="47">
        <v>0</v>
      </c>
      <c r="H226" s="49">
        <v>0</v>
      </c>
      <c r="I226" s="49">
        <v>0</v>
      </c>
    </row>
    <row r="227" spans="1:9" ht="24" customHeight="1">
      <c r="A227" s="66" t="s">
        <v>194</v>
      </c>
      <c r="B227" s="74">
        <f t="shared" si="3"/>
        <v>228208</v>
      </c>
      <c r="C227" s="47">
        <f>137504+39984+4867+1148</f>
        <v>183503</v>
      </c>
      <c r="D227" s="47">
        <f>80+36277+8348</f>
        <v>44705</v>
      </c>
      <c r="E227" s="47">
        <v>0</v>
      </c>
      <c r="F227" s="47">
        <v>0</v>
      </c>
      <c r="G227" s="47"/>
      <c r="H227" s="49">
        <v>0</v>
      </c>
      <c r="I227" s="49">
        <v>0</v>
      </c>
    </row>
    <row r="228" spans="1:9">
      <c r="A228" s="66" t="s">
        <v>44</v>
      </c>
      <c r="B228" s="74">
        <f t="shared" si="3"/>
        <v>89210</v>
      </c>
      <c r="C228" s="47">
        <f>1000+50</f>
        <v>1050</v>
      </c>
      <c r="D228" s="47">
        <f>77895+10265</f>
        <v>88160</v>
      </c>
      <c r="E228" s="47">
        <v>0</v>
      </c>
      <c r="F228" s="47">
        <v>0</v>
      </c>
      <c r="G228" s="47"/>
      <c r="H228" s="49">
        <v>0</v>
      </c>
      <c r="I228" s="49">
        <v>0</v>
      </c>
    </row>
    <row r="229" spans="1:9">
      <c r="A229" s="66" t="s">
        <v>45</v>
      </c>
      <c r="B229" s="74">
        <f t="shared" si="3"/>
        <v>23255</v>
      </c>
      <c r="C229" s="47">
        <f>11056+3171</f>
        <v>14227</v>
      </c>
      <c r="D229" s="47">
        <f>2395+1990</f>
        <v>4385</v>
      </c>
      <c r="E229" s="47">
        <v>0</v>
      </c>
      <c r="F229" s="47">
        <v>0</v>
      </c>
      <c r="G229" s="47">
        <v>4643</v>
      </c>
      <c r="H229" s="49">
        <v>0</v>
      </c>
      <c r="I229" s="49">
        <v>0</v>
      </c>
    </row>
    <row r="230" spans="1:9" ht="30">
      <c r="A230" s="66" t="s">
        <v>46</v>
      </c>
      <c r="B230" s="74">
        <f t="shared" si="3"/>
        <v>13643</v>
      </c>
      <c r="C230" s="47">
        <f>8297+2371</f>
        <v>10668</v>
      </c>
      <c r="D230" s="47">
        <f>1680+1295</f>
        <v>2975</v>
      </c>
      <c r="E230" s="47">
        <v>0</v>
      </c>
      <c r="F230" s="47">
        <v>0</v>
      </c>
      <c r="G230" s="47"/>
      <c r="H230" s="49">
        <v>0</v>
      </c>
      <c r="I230" s="49">
        <v>0</v>
      </c>
    </row>
    <row r="231" spans="1:9" ht="30">
      <c r="A231" s="66" t="s">
        <v>47</v>
      </c>
      <c r="B231" s="74">
        <f t="shared" si="3"/>
        <v>10725</v>
      </c>
      <c r="C231" s="47">
        <f>6430+1848</f>
        <v>8278</v>
      </c>
      <c r="D231" s="47">
        <f>1447+1000</f>
        <v>2447</v>
      </c>
      <c r="E231" s="47">
        <v>0</v>
      </c>
      <c r="F231" s="47">
        <v>0</v>
      </c>
      <c r="G231" s="47"/>
      <c r="H231" s="49">
        <v>0</v>
      </c>
      <c r="I231" s="49">
        <v>0</v>
      </c>
    </row>
    <row r="232" spans="1:9">
      <c r="A232" s="66" t="s">
        <v>48</v>
      </c>
      <c r="B232" s="74">
        <f t="shared" si="3"/>
        <v>39285</v>
      </c>
      <c r="C232" s="47">
        <f>25611+7061+973+230</f>
        <v>33875</v>
      </c>
      <c r="D232" s="47">
        <f>3345+2065</f>
        <v>5410</v>
      </c>
      <c r="E232" s="47">
        <v>0</v>
      </c>
      <c r="F232" s="47">
        <v>0</v>
      </c>
      <c r="G232" s="47"/>
      <c r="H232" s="49">
        <v>0</v>
      </c>
      <c r="I232" s="49">
        <v>0</v>
      </c>
    </row>
    <row r="233" spans="1:9">
      <c r="A233" s="66" t="s">
        <v>49</v>
      </c>
      <c r="B233" s="74">
        <f t="shared" si="3"/>
        <v>33794</v>
      </c>
      <c r="C233" s="47">
        <f>20497+5960+1298+306</f>
        <v>28061</v>
      </c>
      <c r="D233" s="47">
        <f>2561+3172</f>
        <v>5733</v>
      </c>
      <c r="E233" s="47">
        <v>0</v>
      </c>
      <c r="F233" s="47">
        <v>0</v>
      </c>
      <c r="G233" s="47"/>
      <c r="H233" s="49">
        <v>0</v>
      </c>
      <c r="I233" s="49">
        <v>0</v>
      </c>
    </row>
    <row r="234" spans="1:9">
      <c r="A234" s="66" t="s">
        <v>50</v>
      </c>
      <c r="B234" s="74">
        <f t="shared" si="3"/>
        <v>19763</v>
      </c>
      <c r="C234" s="47">
        <f>12002+3500+324+77</f>
        <v>15903</v>
      </c>
      <c r="D234" s="47">
        <f>2450+1410</f>
        <v>3860</v>
      </c>
      <c r="E234" s="47">
        <v>0</v>
      </c>
      <c r="F234" s="47">
        <v>0</v>
      </c>
      <c r="G234" s="47"/>
      <c r="H234" s="49">
        <v>0</v>
      </c>
      <c r="I234" s="49">
        <v>0</v>
      </c>
    </row>
    <row r="235" spans="1:9">
      <c r="A235" s="66" t="s">
        <v>51</v>
      </c>
      <c r="B235" s="74">
        <f t="shared" si="3"/>
        <v>62214</v>
      </c>
      <c r="C235" s="47">
        <f>25220+7548+1298+306</f>
        <v>34372</v>
      </c>
      <c r="D235" s="47">
        <f>11831+16011</f>
        <v>27842</v>
      </c>
      <c r="E235" s="47">
        <v>0</v>
      </c>
      <c r="F235" s="47">
        <v>0</v>
      </c>
      <c r="G235" s="47"/>
      <c r="H235" s="49">
        <v>0</v>
      </c>
      <c r="I235" s="49">
        <v>0</v>
      </c>
    </row>
    <row r="236" spans="1:9">
      <c r="A236" s="66" t="s">
        <v>52</v>
      </c>
      <c r="B236" s="74">
        <f t="shared" si="3"/>
        <v>40731</v>
      </c>
      <c r="C236" s="47">
        <f>22980+6584+973+230</f>
        <v>30767</v>
      </c>
      <c r="D236" s="47">
        <f>7289+2675</f>
        <v>9964</v>
      </c>
      <c r="E236" s="47">
        <v>0</v>
      </c>
      <c r="F236" s="47">
        <v>0</v>
      </c>
      <c r="G236" s="47"/>
      <c r="H236" s="49">
        <v>0</v>
      </c>
      <c r="I236" s="49">
        <v>0</v>
      </c>
    </row>
    <row r="237" spans="1:9">
      <c r="A237" s="66" t="s">
        <v>53</v>
      </c>
      <c r="B237" s="74">
        <f t="shared" si="3"/>
        <v>30703</v>
      </c>
      <c r="C237" s="47">
        <f>17919+5227+973+230</f>
        <v>24349</v>
      </c>
      <c r="D237" s="47">
        <f>2454+3900</f>
        <v>6354</v>
      </c>
      <c r="E237" s="47">
        <v>0</v>
      </c>
      <c r="F237" s="47">
        <v>0</v>
      </c>
      <c r="G237" s="47"/>
      <c r="H237" s="49">
        <v>0</v>
      </c>
      <c r="I237" s="49">
        <v>0</v>
      </c>
    </row>
    <row r="238" spans="1:9">
      <c r="A238" s="66" t="s">
        <v>54</v>
      </c>
      <c r="B238" s="74">
        <f t="shared" si="3"/>
        <v>19611</v>
      </c>
      <c r="C238" s="47">
        <f>11618+3354+649+153</f>
        <v>15774</v>
      </c>
      <c r="D238" s="47">
        <f>1925+1912</f>
        <v>3837</v>
      </c>
      <c r="E238" s="47">
        <v>0</v>
      </c>
      <c r="F238" s="47">
        <v>0</v>
      </c>
      <c r="G238" s="47"/>
      <c r="H238" s="49">
        <v>0</v>
      </c>
      <c r="I238" s="49">
        <v>0</v>
      </c>
    </row>
    <row r="239" spans="1:9" ht="30">
      <c r="A239" s="103" t="s">
        <v>370</v>
      </c>
      <c r="B239" s="74">
        <f t="shared" si="3"/>
        <v>8938</v>
      </c>
      <c r="C239" s="47">
        <v>8838</v>
      </c>
      <c r="D239" s="47"/>
      <c r="E239" s="47"/>
      <c r="F239" s="47"/>
      <c r="G239" s="47"/>
      <c r="H239" s="49"/>
      <c r="I239" s="49">
        <v>100</v>
      </c>
    </row>
    <row r="240" spans="1:9" ht="30">
      <c r="A240" s="85" t="s">
        <v>289</v>
      </c>
      <c r="B240" s="74">
        <f t="shared" si="3"/>
        <v>65886</v>
      </c>
      <c r="C240" s="107">
        <v>46397</v>
      </c>
      <c r="D240" s="107">
        <v>19489</v>
      </c>
      <c r="E240" s="108">
        <v>0</v>
      </c>
      <c r="F240" s="108">
        <v>0</v>
      </c>
      <c r="G240" s="108">
        <v>0</v>
      </c>
      <c r="H240" s="108">
        <v>0</v>
      </c>
      <c r="I240" s="108">
        <v>0</v>
      </c>
    </row>
    <row r="241" spans="1:9">
      <c r="A241" s="85" t="s">
        <v>290</v>
      </c>
      <c r="B241" s="74">
        <f t="shared" si="3"/>
        <v>33298</v>
      </c>
      <c r="C241" s="80">
        <v>23235</v>
      </c>
      <c r="D241" s="80">
        <v>8915</v>
      </c>
      <c r="E241" s="79">
        <v>0</v>
      </c>
      <c r="F241" s="79">
        <v>0</v>
      </c>
      <c r="G241" s="80">
        <v>1148</v>
      </c>
      <c r="H241" s="79">
        <v>0</v>
      </c>
      <c r="I241" s="79">
        <v>0</v>
      </c>
    </row>
    <row r="242" spans="1:9">
      <c r="A242" s="122" t="s">
        <v>372</v>
      </c>
      <c r="B242" s="74">
        <f t="shared" si="3"/>
        <v>64532</v>
      </c>
      <c r="C242" s="89">
        <v>31357</v>
      </c>
      <c r="D242" s="89">
        <v>6869</v>
      </c>
      <c r="E242" s="89"/>
      <c r="F242" s="89"/>
      <c r="G242" s="89">
        <v>26306</v>
      </c>
      <c r="H242" s="121"/>
      <c r="I242" s="121"/>
    </row>
    <row r="243" spans="1:9">
      <c r="A243" s="122" t="s">
        <v>487</v>
      </c>
      <c r="B243" s="74">
        <f t="shared" si="3"/>
        <v>5627</v>
      </c>
      <c r="C243" s="89"/>
      <c r="D243" s="89">
        <v>5627</v>
      </c>
      <c r="E243" s="89"/>
      <c r="F243" s="89"/>
      <c r="G243" s="89"/>
      <c r="H243" s="121"/>
      <c r="I243" s="121"/>
    </row>
    <row r="244" spans="1:9">
      <c r="A244" s="86" t="s">
        <v>374</v>
      </c>
      <c r="B244" s="74">
        <f t="shared" si="3"/>
        <v>3395</v>
      </c>
      <c r="C244" s="47">
        <v>2345</v>
      </c>
      <c r="D244" s="47">
        <v>1050</v>
      </c>
      <c r="E244" s="47"/>
      <c r="F244" s="47"/>
      <c r="G244" s="47"/>
      <c r="H244" s="49"/>
      <c r="I244" s="49"/>
    </row>
    <row r="245" spans="1:9">
      <c r="A245" s="86" t="s">
        <v>373</v>
      </c>
      <c r="B245" s="74">
        <f t="shared" si="3"/>
        <v>756</v>
      </c>
      <c r="C245" s="47"/>
      <c r="D245" s="47">
        <v>756</v>
      </c>
      <c r="E245" s="47"/>
      <c r="F245" s="47"/>
      <c r="G245" s="47"/>
      <c r="H245" s="49"/>
      <c r="I245" s="49"/>
    </row>
    <row r="246" spans="1:9" ht="30">
      <c r="A246" s="77" t="s">
        <v>370</v>
      </c>
      <c r="B246" s="74">
        <f t="shared" si="3"/>
        <v>2496</v>
      </c>
      <c r="C246" s="47">
        <v>802</v>
      </c>
      <c r="D246" s="47">
        <v>802</v>
      </c>
      <c r="E246" s="47"/>
      <c r="F246" s="47"/>
      <c r="G246" s="47"/>
      <c r="H246" s="49"/>
      <c r="I246" s="49">
        <v>892</v>
      </c>
    </row>
    <row r="247" spans="1:9" ht="30">
      <c r="A247" s="84" t="s">
        <v>387</v>
      </c>
      <c r="B247" s="74">
        <f t="shared" si="3"/>
        <v>28897</v>
      </c>
      <c r="C247" s="47">
        <v>20007</v>
      </c>
      <c r="D247" s="47">
        <v>8890</v>
      </c>
      <c r="E247" s="47"/>
      <c r="F247" s="47"/>
      <c r="G247" s="47"/>
      <c r="H247" s="49"/>
      <c r="I247" s="49"/>
    </row>
    <row r="248" spans="1:9">
      <c r="A248" s="84" t="s">
        <v>386</v>
      </c>
      <c r="B248" s="74">
        <f t="shared" si="3"/>
        <v>10856</v>
      </c>
      <c r="C248" s="47">
        <v>5626</v>
      </c>
      <c r="D248" s="47">
        <v>5230</v>
      </c>
      <c r="E248" s="47"/>
      <c r="F248" s="47"/>
      <c r="G248" s="47"/>
      <c r="H248" s="49"/>
      <c r="I248" s="49"/>
    </row>
    <row r="249" spans="1:9">
      <c r="A249" s="84" t="s">
        <v>385</v>
      </c>
      <c r="B249" s="74">
        <f t="shared" si="3"/>
        <v>29062</v>
      </c>
      <c r="C249" s="47">
        <v>21655</v>
      </c>
      <c r="D249" s="47">
        <v>7407</v>
      </c>
      <c r="E249" s="47"/>
      <c r="F249" s="47"/>
      <c r="G249" s="47"/>
      <c r="H249" s="49"/>
      <c r="I249" s="49"/>
    </row>
    <row r="250" spans="1:9" ht="30">
      <c r="A250" s="84" t="s">
        <v>384</v>
      </c>
      <c r="B250" s="74">
        <f t="shared" si="3"/>
        <v>466780</v>
      </c>
      <c r="C250" s="47">
        <v>24930</v>
      </c>
      <c r="D250" s="47">
        <v>10379</v>
      </c>
      <c r="E250" s="47"/>
      <c r="F250" s="47"/>
      <c r="G250" s="47">
        <v>431471</v>
      </c>
      <c r="H250" s="49"/>
      <c r="I250" s="49"/>
    </row>
    <row r="251" spans="1:9">
      <c r="A251" s="84" t="s">
        <v>383</v>
      </c>
      <c r="B251" s="74">
        <f t="shared" si="3"/>
        <v>79811</v>
      </c>
      <c r="C251" s="47">
        <v>53950</v>
      </c>
      <c r="D251" s="47">
        <v>25861</v>
      </c>
      <c r="E251" s="47"/>
      <c r="F251" s="47"/>
      <c r="G251" s="47"/>
      <c r="H251" s="49"/>
      <c r="I251" s="49"/>
    </row>
    <row r="252" spans="1:9">
      <c r="A252" s="84" t="s">
        <v>382</v>
      </c>
      <c r="B252" s="74">
        <f t="shared" si="3"/>
        <v>35888</v>
      </c>
      <c r="C252" s="47">
        <v>26664</v>
      </c>
      <c r="D252" s="47">
        <v>9224</v>
      </c>
      <c r="E252" s="47"/>
      <c r="F252" s="47"/>
      <c r="G252" s="47"/>
      <c r="H252" s="49"/>
      <c r="I252" s="49"/>
    </row>
    <row r="253" spans="1:9">
      <c r="A253" s="84" t="s">
        <v>381</v>
      </c>
      <c r="B253" s="74">
        <f t="shared" si="3"/>
        <v>5460</v>
      </c>
      <c r="C253" s="47">
        <v>2292</v>
      </c>
      <c r="D253" s="47">
        <v>3168</v>
      </c>
      <c r="E253" s="47"/>
      <c r="F253" s="47"/>
      <c r="G253" s="47"/>
      <c r="H253" s="49"/>
      <c r="I253" s="49"/>
    </row>
    <row r="254" spans="1:9">
      <c r="A254" s="84" t="s">
        <v>380</v>
      </c>
      <c r="B254" s="74">
        <f t="shared" si="3"/>
        <v>1355</v>
      </c>
      <c r="C254" s="47">
        <v>832</v>
      </c>
      <c r="D254" s="47">
        <v>523</v>
      </c>
      <c r="E254" s="47"/>
      <c r="F254" s="47"/>
      <c r="G254" s="47"/>
      <c r="H254" s="49"/>
      <c r="I254" s="49"/>
    </row>
    <row r="255" spans="1:9">
      <c r="A255" s="84" t="s">
        <v>379</v>
      </c>
      <c r="B255" s="74">
        <f t="shared" si="3"/>
        <v>31006</v>
      </c>
      <c r="C255" s="47">
        <v>24212</v>
      </c>
      <c r="D255" s="47">
        <v>6794</v>
      </c>
      <c r="E255" s="47"/>
      <c r="F255" s="47"/>
      <c r="G255" s="47"/>
      <c r="H255" s="49"/>
      <c r="I255" s="49"/>
    </row>
    <row r="256" spans="1:9" ht="30">
      <c r="A256" s="84" t="s">
        <v>378</v>
      </c>
      <c r="B256" s="74">
        <f t="shared" si="3"/>
        <v>9656</v>
      </c>
      <c r="C256" s="50">
        <v>6652</v>
      </c>
      <c r="D256" s="50">
        <v>3004</v>
      </c>
      <c r="E256" s="50"/>
      <c r="F256" s="50"/>
      <c r="G256" s="50"/>
      <c r="H256" s="51"/>
      <c r="I256" s="49"/>
    </row>
    <row r="257" spans="1:9">
      <c r="A257" s="84" t="s">
        <v>377</v>
      </c>
      <c r="B257" s="74">
        <f t="shared" si="3"/>
        <v>1493</v>
      </c>
      <c r="C257" s="47"/>
      <c r="D257" s="47">
        <v>1493</v>
      </c>
      <c r="E257" s="47"/>
      <c r="F257" s="47"/>
      <c r="G257" s="47"/>
      <c r="H257" s="49"/>
      <c r="I257" s="49"/>
    </row>
    <row r="258" spans="1:9" ht="30">
      <c r="A258" s="84" t="s">
        <v>388</v>
      </c>
      <c r="B258" s="74">
        <f t="shared" si="3"/>
        <v>11500</v>
      </c>
      <c r="C258" s="47"/>
      <c r="D258" s="47"/>
      <c r="E258" s="47">
        <v>11500</v>
      </c>
      <c r="F258" s="47"/>
      <c r="G258" s="47"/>
      <c r="H258" s="49"/>
      <c r="I258" s="49"/>
    </row>
    <row r="259" spans="1:9" ht="30">
      <c r="A259" s="86" t="s">
        <v>376</v>
      </c>
      <c r="B259" s="74">
        <f t="shared" si="3"/>
        <v>5686</v>
      </c>
      <c r="C259" s="47"/>
      <c r="D259" s="47"/>
      <c r="E259" s="47">
        <v>5686</v>
      </c>
      <c r="F259" s="47"/>
      <c r="G259" s="47"/>
      <c r="H259" s="49"/>
      <c r="I259" s="49"/>
    </row>
    <row r="260" spans="1:9" ht="30">
      <c r="A260" s="86" t="s">
        <v>389</v>
      </c>
      <c r="B260" s="74">
        <f t="shared" si="3"/>
        <v>19700</v>
      </c>
      <c r="C260" s="47"/>
      <c r="D260" s="47"/>
      <c r="E260" s="47">
        <v>19700</v>
      </c>
      <c r="F260" s="47"/>
      <c r="G260" s="47"/>
      <c r="H260" s="49"/>
      <c r="I260" s="49"/>
    </row>
    <row r="261" spans="1:9" ht="30">
      <c r="A261" s="123" t="s">
        <v>375</v>
      </c>
      <c r="B261" s="74">
        <f t="shared" si="3"/>
        <v>2000</v>
      </c>
      <c r="C261" s="97"/>
      <c r="D261" s="97"/>
      <c r="E261" s="96">
        <v>2000</v>
      </c>
      <c r="F261" s="96"/>
      <c r="G261" s="97"/>
      <c r="H261" s="96"/>
      <c r="I261" s="96"/>
    </row>
    <row r="262" spans="1:9" ht="30">
      <c r="A262" s="124" t="s">
        <v>55</v>
      </c>
      <c r="B262" s="74">
        <f t="shared" si="3"/>
        <v>54118</v>
      </c>
      <c r="C262" s="47">
        <f>300+71+13946</f>
        <v>14317</v>
      </c>
      <c r="D262" s="47">
        <f>700+19350+15175+3166</f>
        <v>38391</v>
      </c>
      <c r="E262" s="47">
        <f>500+250</f>
        <v>750</v>
      </c>
      <c r="F262" s="47">
        <v>0</v>
      </c>
      <c r="G262" s="47"/>
      <c r="H262" s="49">
        <v>660</v>
      </c>
      <c r="I262" s="49">
        <v>0</v>
      </c>
    </row>
    <row r="263" spans="1:9" ht="30">
      <c r="A263" s="70" t="s">
        <v>169</v>
      </c>
      <c r="B263" s="74">
        <f t="shared" si="3"/>
        <v>11930</v>
      </c>
      <c r="C263" s="47"/>
      <c r="D263" s="47">
        <f>1550+6480+1900</f>
        <v>9930</v>
      </c>
      <c r="E263" s="47">
        <v>0</v>
      </c>
      <c r="F263" s="47"/>
      <c r="G263" s="47"/>
      <c r="H263" s="49">
        <v>2000</v>
      </c>
      <c r="I263" s="49"/>
    </row>
    <row r="264" spans="1:9" ht="30">
      <c r="A264" s="86" t="s">
        <v>434</v>
      </c>
      <c r="B264" s="74">
        <f t="shared" si="3"/>
        <v>800</v>
      </c>
      <c r="C264" s="47">
        <v>800</v>
      </c>
      <c r="D264" s="47"/>
      <c r="E264" s="47"/>
      <c r="F264" s="47"/>
      <c r="G264" s="47"/>
      <c r="H264" s="49"/>
      <c r="I264" s="49"/>
    </row>
    <row r="265" spans="1:9" ht="30">
      <c r="A265" s="86" t="s">
        <v>433</v>
      </c>
      <c r="B265" s="74">
        <f t="shared" si="3"/>
        <v>2800</v>
      </c>
      <c r="C265" s="47"/>
      <c r="D265" s="47"/>
      <c r="E265" s="47"/>
      <c r="F265" s="47"/>
      <c r="G265" s="47">
        <v>2800</v>
      </c>
      <c r="H265" s="49"/>
      <c r="I265" s="49"/>
    </row>
    <row r="266" spans="1:9" ht="30">
      <c r="A266" s="86" t="s">
        <v>435</v>
      </c>
      <c r="B266" s="74">
        <f t="shared" si="3"/>
        <v>1030</v>
      </c>
      <c r="C266" s="47"/>
      <c r="D266" s="47"/>
      <c r="E266" s="47"/>
      <c r="F266" s="47"/>
      <c r="G266" s="47">
        <v>1030</v>
      </c>
      <c r="H266" s="49"/>
      <c r="I266" s="49"/>
    </row>
    <row r="267" spans="1:9">
      <c r="A267" s="66" t="s">
        <v>56</v>
      </c>
      <c r="B267" s="74">
        <f t="shared" si="3"/>
        <v>609521</v>
      </c>
      <c r="C267" s="47">
        <f>329151+85561+79918+18853</f>
        <v>513483</v>
      </c>
      <c r="D267" s="47">
        <f>30+29832+61076</f>
        <v>90938</v>
      </c>
      <c r="E267" s="47">
        <v>0</v>
      </c>
      <c r="F267" s="47">
        <v>0</v>
      </c>
      <c r="G267" s="47">
        <v>5100</v>
      </c>
      <c r="H267" s="49">
        <v>0</v>
      </c>
      <c r="I267" s="49">
        <v>0</v>
      </c>
    </row>
    <row r="268" spans="1:9">
      <c r="A268" s="66" t="s">
        <v>57</v>
      </c>
      <c r="B268" s="74">
        <f t="shared" si="3"/>
        <v>374450</v>
      </c>
      <c r="C268" s="47">
        <f>198753+52306+40722+9607</f>
        <v>301388</v>
      </c>
      <c r="D268" s="47">
        <f>30+27103+45929</f>
        <v>73062</v>
      </c>
      <c r="E268" s="47">
        <v>0</v>
      </c>
      <c r="F268" s="47">
        <v>0</v>
      </c>
      <c r="G268" s="47">
        <v>0</v>
      </c>
      <c r="H268" s="49">
        <v>0</v>
      </c>
      <c r="I268" s="49">
        <v>0</v>
      </c>
    </row>
    <row r="269" spans="1:9">
      <c r="A269" s="66" t="s">
        <v>58</v>
      </c>
      <c r="B269" s="74">
        <f t="shared" si="3"/>
        <v>79969</v>
      </c>
      <c r="C269" s="47">
        <f>51448+13358+5112+1205</f>
        <v>71123</v>
      </c>
      <c r="D269" s="47">
        <f>1929+6917</f>
        <v>8846</v>
      </c>
      <c r="E269" s="47">
        <v>0</v>
      </c>
      <c r="F269" s="47">
        <v>0</v>
      </c>
      <c r="G269" s="47"/>
      <c r="H269" s="49">
        <v>0</v>
      </c>
      <c r="I269" s="49">
        <v>0</v>
      </c>
    </row>
    <row r="270" spans="1:9">
      <c r="A270" s="66" t="s">
        <v>59</v>
      </c>
      <c r="B270" s="74">
        <f t="shared" ref="B270:B333" si="4">SUM(C270:I270)</f>
        <v>255826</v>
      </c>
      <c r="C270" s="47">
        <f>151814+41169+25236+5953</f>
        <v>224172</v>
      </c>
      <c r="D270" s="47">
        <f>7560+24094</f>
        <v>31654</v>
      </c>
      <c r="E270" s="47">
        <v>0</v>
      </c>
      <c r="F270" s="47">
        <v>0</v>
      </c>
      <c r="G270" s="47">
        <v>0</v>
      </c>
      <c r="H270" s="49">
        <v>0</v>
      </c>
      <c r="I270" s="49">
        <v>0</v>
      </c>
    </row>
    <row r="271" spans="1:9" ht="30">
      <c r="A271" s="66" t="s">
        <v>166</v>
      </c>
      <c r="B271" s="74">
        <f t="shared" si="4"/>
        <v>111821</v>
      </c>
      <c r="C271" s="47">
        <f>71370+19400</f>
        <v>90770</v>
      </c>
      <c r="D271" s="47">
        <f>5519+15532</f>
        <v>21051</v>
      </c>
      <c r="E271" s="47">
        <v>0</v>
      </c>
      <c r="F271" s="47">
        <v>0</v>
      </c>
      <c r="G271" s="47"/>
      <c r="H271" s="49">
        <v>0</v>
      </c>
      <c r="I271" s="49">
        <v>0</v>
      </c>
    </row>
    <row r="272" spans="1:9">
      <c r="A272" s="66" t="s">
        <v>200</v>
      </c>
      <c r="B272" s="74">
        <f t="shared" si="4"/>
        <v>738683</v>
      </c>
      <c r="C272" s="47">
        <f>120439+34579+321125+75753</f>
        <v>551896</v>
      </c>
      <c r="D272" s="47">
        <f>150+51349+116159</f>
        <v>167658</v>
      </c>
      <c r="E272" s="47">
        <v>0</v>
      </c>
      <c r="F272" s="47">
        <v>0</v>
      </c>
      <c r="G272" s="47">
        <f>13129+6000</f>
        <v>19129</v>
      </c>
      <c r="H272" s="49">
        <v>0</v>
      </c>
      <c r="I272" s="49">
        <v>0</v>
      </c>
    </row>
    <row r="273" spans="1:9">
      <c r="A273" s="66" t="s">
        <v>60</v>
      </c>
      <c r="B273" s="74">
        <f t="shared" si="4"/>
        <v>327559</v>
      </c>
      <c r="C273" s="47">
        <f>96110+26831+132855+31341</f>
        <v>287137</v>
      </c>
      <c r="D273" s="47">
        <f>40+12893+26249+140</f>
        <v>39322</v>
      </c>
      <c r="E273" s="47">
        <v>0</v>
      </c>
      <c r="F273" s="47">
        <v>0</v>
      </c>
      <c r="G273" s="47">
        <v>1100</v>
      </c>
      <c r="H273" s="49">
        <v>0</v>
      </c>
      <c r="I273" s="49">
        <v>0</v>
      </c>
    </row>
    <row r="274" spans="1:9">
      <c r="A274" s="66" t="s">
        <v>134</v>
      </c>
      <c r="B274" s="74">
        <f t="shared" si="4"/>
        <v>80776</v>
      </c>
      <c r="C274" s="47">
        <f>46972+13246</f>
        <v>60218</v>
      </c>
      <c r="D274" s="47">
        <f>4590+15968</f>
        <v>20558</v>
      </c>
      <c r="E274" s="47">
        <v>0</v>
      </c>
      <c r="F274" s="47">
        <v>0</v>
      </c>
      <c r="G274" s="47"/>
      <c r="H274" s="49">
        <v>0</v>
      </c>
      <c r="I274" s="49">
        <v>0</v>
      </c>
    </row>
    <row r="275" spans="1:9">
      <c r="A275" s="66" t="s">
        <v>61</v>
      </c>
      <c r="B275" s="74">
        <f t="shared" si="4"/>
        <v>756046</v>
      </c>
      <c r="C275" s="47">
        <f>168112+50342+329458+77718</f>
        <v>625630</v>
      </c>
      <c r="D275" s="47">
        <f>110+62752+59838</f>
        <v>122700</v>
      </c>
      <c r="E275" s="47">
        <v>0</v>
      </c>
      <c r="F275" s="47">
        <v>0</v>
      </c>
      <c r="G275" s="47">
        <v>7716</v>
      </c>
      <c r="H275" s="49">
        <v>0</v>
      </c>
      <c r="I275" s="49">
        <v>0</v>
      </c>
    </row>
    <row r="276" spans="1:9" ht="30">
      <c r="A276" s="66" t="s">
        <v>139</v>
      </c>
      <c r="B276" s="74">
        <f t="shared" si="4"/>
        <v>751048</v>
      </c>
      <c r="C276" s="47">
        <f>215610+59410+226998+61988</f>
        <v>564006</v>
      </c>
      <c r="D276" s="47">
        <f>300+99600+53440+116</f>
        <v>153456</v>
      </c>
      <c r="E276" s="47">
        <v>0</v>
      </c>
      <c r="F276" s="47">
        <v>0</v>
      </c>
      <c r="G276" s="47">
        <v>17726</v>
      </c>
      <c r="H276" s="49">
        <v>15860</v>
      </c>
      <c r="I276" s="49">
        <v>0</v>
      </c>
    </row>
    <row r="277" spans="1:9">
      <c r="A277" s="66" t="s">
        <v>62</v>
      </c>
      <c r="B277" s="74">
        <f t="shared" si="4"/>
        <v>377191</v>
      </c>
      <c r="C277" s="47">
        <f>146280+40488+92436+21806</f>
        <v>301010</v>
      </c>
      <c r="D277" s="47">
        <f>80+15490+42141+130</f>
        <v>57841</v>
      </c>
      <c r="E277" s="47">
        <v>0</v>
      </c>
      <c r="F277" s="47">
        <v>0</v>
      </c>
      <c r="G277" s="47">
        <v>18340</v>
      </c>
      <c r="H277" s="49">
        <v>0</v>
      </c>
      <c r="I277" s="49">
        <v>0</v>
      </c>
    </row>
    <row r="278" spans="1:9" ht="30">
      <c r="A278" s="66" t="s">
        <v>168</v>
      </c>
      <c r="B278" s="74">
        <f t="shared" si="4"/>
        <v>52441</v>
      </c>
      <c r="C278" s="47">
        <f>29250+7948</f>
        <v>37198</v>
      </c>
      <c r="D278" s="47">
        <f>3376+11767+100</f>
        <v>15243</v>
      </c>
      <c r="E278" s="47">
        <v>0</v>
      </c>
      <c r="F278" s="47">
        <v>0</v>
      </c>
      <c r="G278" s="47"/>
      <c r="H278" s="49">
        <v>0</v>
      </c>
      <c r="I278" s="49">
        <v>0</v>
      </c>
    </row>
    <row r="279" spans="1:9">
      <c r="A279" s="66" t="s">
        <v>63</v>
      </c>
      <c r="B279" s="74">
        <f t="shared" si="4"/>
        <v>504877</v>
      </c>
      <c r="C279" s="47">
        <f>147147+40326+195276+46065</f>
        <v>428814</v>
      </c>
      <c r="D279" s="47">
        <f>30+36837+37686</f>
        <v>74553</v>
      </c>
      <c r="E279" s="47">
        <v>0</v>
      </c>
      <c r="F279" s="47">
        <v>0</v>
      </c>
      <c r="G279" s="47">
        <v>1510</v>
      </c>
      <c r="H279" s="49">
        <v>0</v>
      </c>
      <c r="I279" s="49">
        <v>0</v>
      </c>
    </row>
    <row r="280" spans="1:9" ht="30">
      <c r="A280" s="66" t="s">
        <v>167</v>
      </c>
      <c r="B280" s="74">
        <f t="shared" si="4"/>
        <v>57689</v>
      </c>
      <c r="C280" s="47">
        <f>36058+10211</f>
        <v>46269</v>
      </c>
      <c r="D280" s="47">
        <f>2206+9214</f>
        <v>11420</v>
      </c>
      <c r="E280" s="47">
        <v>0</v>
      </c>
      <c r="F280" s="47">
        <v>0</v>
      </c>
      <c r="G280" s="47"/>
      <c r="H280" s="49">
        <v>0</v>
      </c>
      <c r="I280" s="49">
        <v>0</v>
      </c>
    </row>
    <row r="281" spans="1:9">
      <c r="A281" s="66" t="s">
        <v>64</v>
      </c>
      <c r="B281" s="74">
        <f t="shared" si="4"/>
        <v>488598</v>
      </c>
      <c r="C281" s="47">
        <f>87291+23675+264470+62388</f>
        <v>437824</v>
      </c>
      <c r="D281" s="47">
        <f>1528+36179+11059+168</f>
        <v>48934</v>
      </c>
      <c r="E281" s="47">
        <v>0</v>
      </c>
      <c r="F281" s="47">
        <v>0</v>
      </c>
      <c r="G281" s="47">
        <v>1840</v>
      </c>
      <c r="H281" s="49">
        <v>0</v>
      </c>
      <c r="I281" s="49">
        <v>0</v>
      </c>
    </row>
    <row r="282" spans="1:9">
      <c r="A282" s="66" t="s">
        <v>65</v>
      </c>
      <c r="B282" s="74">
        <f t="shared" si="4"/>
        <v>151733</v>
      </c>
      <c r="C282" s="47">
        <f>65385+17072+36059+8506</f>
        <v>127022</v>
      </c>
      <c r="D282" s="47">
        <f>265+15192+9254</f>
        <v>24711</v>
      </c>
      <c r="E282" s="47">
        <v>0</v>
      </c>
      <c r="F282" s="47">
        <v>0</v>
      </c>
      <c r="G282" s="47">
        <v>0</v>
      </c>
      <c r="H282" s="49">
        <v>0</v>
      </c>
      <c r="I282" s="49">
        <v>0</v>
      </c>
    </row>
    <row r="283" spans="1:9">
      <c r="A283" s="66" t="s">
        <v>66</v>
      </c>
      <c r="B283" s="74">
        <f t="shared" si="4"/>
        <v>360554</v>
      </c>
      <c r="C283" s="47">
        <f>138632+38508+106763+25185</f>
        <v>309088</v>
      </c>
      <c r="D283" s="47">
        <f>3857+22647+24052+600</f>
        <v>51156</v>
      </c>
      <c r="E283" s="47">
        <v>0</v>
      </c>
      <c r="F283" s="47">
        <v>0</v>
      </c>
      <c r="G283" s="47">
        <v>310</v>
      </c>
      <c r="H283" s="49">
        <v>0</v>
      </c>
      <c r="I283" s="49">
        <v>0</v>
      </c>
    </row>
    <row r="284" spans="1:9">
      <c r="A284" s="66" t="s">
        <v>135</v>
      </c>
      <c r="B284" s="74">
        <f t="shared" si="4"/>
        <v>179478</v>
      </c>
      <c r="C284" s="47">
        <f>63344+18422</f>
        <v>81766</v>
      </c>
      <c r="D284" s="47">
        <f>85055+12657</f>
        <v>97712</v>
      </c>
      <c r="E284" s="47">
        <v>0</v>
      </c>
      <c r="F284" s="47">
        <v>0</v>
      </c>
      <c r="G284" s="47"/>
      <c r="H284" s="49">
        <v>0</v>
      </c>
      <c r="I284" s="49">
        <v>0</v>
      </c>
    </row>
    <row r="285" spans="1:9">
      <c r="A285" s="66" t="s">
        <v>67</v>
      </c>
      <c r="B285" s="74">
        <f t="shared" si="4"/>
        <v>94522</v>
      </c>
      <c r="C285" s="47">
        <f>40127+10960+18513+4367</f>
        <v>73967</v>
      </c>
      <c r="D285" s="47">
        <f>176+14029+6350</f>
        <v>20555</v>
      </c>
      <c r="E285" s="47">
        <v>0</v>
      </c>
      <c r="F285" s="47">
        <v>0</v>
      </c>
      <c r="G285" s="47"/>
      <c r="H285" s="49">
        <v>0</v>
      </c>
      <c r="I285" s="49">
        <v>0</v>
      </c>
    </row>
    <row r="286" spans="1:9" ht="30">
      <c r="A286" s="66" t="s">
        <v>68</v>
      </c>
      <c r="B286" s="74">
        <f t="shared" si="4"/>
        <v>137378</v>
      </c>
      <c r="C286" s="47">
        <f>98364+28649</f>
        <v>127013</v>
      </c>
      <c r="D286" s="47">
        <f>1122+3922+4135+144</f>
        <v>9323</v>
      </c>
      <c r="E286" s="47">
        <v>0</v>
      </c>
      <c r="F286" s="47">
        <v>0</v>
      </c>
      <c r="G286" s="47">
        <f>142+900</f>
        <v>1042</v>
      </c>
      <c r="H286" s="49">
        <v>0</v>
      </c>
      <c r="I286" s="49">
        <v>0</v>
      </c>
    </row>
    <row r="287" spans="1:9" ht="30">
      <c r="A287" s="66" t="s">
        <v>69</v>
      </c>
      <c r="B287" s="74">
        <f t="shared" si="4"/>
        <v>38926</v>
      </c>
      <c r="C287" s="47">
        <f>2780+325</f>
        <v>3105</v>
      </c>
      <c r="D287" s="47">
        <f>2073+3300+24148</f>
        <v>29521</v>
      </c>
      <c r="E287" s="47">
        <v>0</v>
      </c>
      <c r="F287" s="47">
        <v>0</v>
      </c>
      <c r="G287" s="47"/>
      <c r="H287" s="47">
        <v>6300</v>
      </c>
      <c r="I287" s="49">
        <v>0</v>
      </c>
    </row>
    <row r="288" spans="1:9" ht="30">
      <c r="A288" s="66" t="s">
        <v>70</v>
      </c>
      <c r="B288" s="74">
        <f t="shared" si="4"/>
        <v>7743</v>
      </c>
      <c r="C288" s="47">
        <v>0</v>
      </c>
      <c r="D288" s="47">
        <v>0</v>
      </c>
      <c r="E288" s="47">
        <v>0</v>
      </c>
      <c r="F288" s="47">
        <v>0</v>
      </c>
      <c r="G288" s="47"/>
      <c r="H288" s="49">
        <v>7743</v>
      </c>
      <c r="I288" s="49">
        <v>0</v>
      </c>
    </row>
    <row r="289" spans="1:9" ht="30">
      <c r="A289" s="67" t="s">
        <v>196</v>
      </c>
      <c r="B289" s="74">
        <f t="shared" si="4"/>
        <v>421114</v>
      </c>
      <c r="C289" s="47">
        <v>0</v>
      </c>
      <c r="D289" s="47">
        <v>4000</v>
      </c>
      <c r="E289" s="47">
        <v>0</v>
      </c>
      <c r="F289" s="47">
        <v>0</v>
      </c>
      <c r="G289" s="47"/>
      <c r="H289" s="49">
        <v>0</v>
      </c>
      <c r="I289" s="49">
        <f>236000+60494+20620+100000</f>
        <v>417114</v>
      </c>
    </row>
    <row r="290" spans="1:9" ht="45">
      <c r="A290" s="67" t="s">
        <v>436</v>
      </c>
      <c r="B290" s="74">
        <f t="shared" si="4"/>
        <v>79510</v>
      </c>
      <c r="C290" s="47">
        <f>50490+11927</f>
        <v>62417</v>
      </c>
      <c r="D290" s="47">
        <f>15253</f>
        <v>15253</v>
      </c>
      <c r="E290" s="47">
        <v>1840</v>
      </c>
      <c r="F290" s="47"/>
      <c r="G290" s="47"/>
      <c r="H290" s="49"/>
      <c r="I290" s="49"/>
    </row>
    <row r="291" spans="1:9">
      <c r="A291" s="67" t="s">
        <v>131</v>
      </c>
      <c r="B291" s="74">
        <f t="shared" si="4"/>
        <v>8500</v>
      </c>
      <c r="C291" s="47">
        <v>6878</v>
      </c>
      <c r="D291" s="47">
        <v>1622</v>
      </c>
      <c r="E291" s="47"/>
      <c r="F291" s="47"/>
      <c r="G291" s="47"/>
      <c r="H291" s="49"/>
      <c r="I291" s="49"/>
    </row>
    <row r="292" spans="1:9" ht="30">
      <c r="A292" s="84" t="s">
        <v>413</v>
      </c>
      <c r="B292" s="74">
        <f t="shared" si="4"/>
        <v>192054</v>
      </c>
      <c r="C292" s="47">
        <v>167281</v>
      </c>
      <c r="D292" s="47">
        <v>24773</v>
      </c>
      <c r="E292" s="47"/>
      <c r="F292" s="47"/>
      <c r="G292" s="47"/>
      <c r="H292" s="49"/>
      <c r="I292" s="49"/>
    </row>
    <row r="293" spans="1:9" ht="30">
      <c r="A293" s="84" t="s">
        <v>412</v>
      </c>
      <c r="B293" s="74">
        <f t="shared" si="4"/>
        <v>191246</v>
      </c>
      <c r="C293" s="47">
        <v>151917</v>
      </c>
      <c r="D293" s="47">
        <v>36801</v>
      </c>
      <c r="E293" s="47"/>
      <c r="F293" s="47"/>
      <c r="G293" s="47">
        <v>2528</v>
      </c>
      <c r="H293" s="49"/>
      <c r="I293" s="49"/>
    </row>
    <row r="294" spans="1:9" ht="45">
      <c r="A294" s="84" t="s">
        <v>438</v>
      </c>
      <c r="B294" s="74">
        <f t="shared" si="4"/>
        <v>63520</v>
      </c>
      <c r="C294" s="50">
        <v>43861</v>
      </c>
      <c r="D294" s="50">
        <v>19659</v>
      </c>
      <c r="E294" s="50"/>
      <c r="F294" s="50"/>
      <c r="G294" s="50"/>
      <c r="H294" s="51"/>
      <c r="I294" s="51"/>
    </row>
    <row r="295" spans="1:9" ht="45">
      <c r="A295" s="84" t="s">
        <v>439</v>
      </c>
      <c r="B295" s="74">
        <f t="shared" si="4"/>
        <v>5360</v>
      </c>
      <c r="C295" s="47">
        <v>5360</v>
      </c>
      <c r="D295" s="47"/>
      <c r="E295" s="47"/>
      <c r="F295" s="47"/>
      <c r="G295" s="47"/>
      <c r="H295" s="49"/>
      <c r="I295" s="49"/>
    </row>
    <row r="296" spans="1:9" ht="45">
      <c r="A296" s="84" t="s">
        <v>440</v>
      </c>
      <c r="B296" s="74">
        <f t="shared" si="4"/>
        <v>37780</v>
      </c>
      <c r="C296" s="47">
        <v>37780</v>
      </c>
      <c r="D296" s="47"/>
      <c r="E296" s="47"/>
      <c r="F296" s="47"/>
      <c r="G296" s="47"/>
      <c r="H296" s="49"/>
      <c r="I296" s="49"/>
    </row>
    <row r="297" spans="1:9">
      <c r="A297" s="84" t="s">
        <v>373</v>
      </c>
      <c r="B297" s="74">
        <f t="shared" si="4"/>
        <v>15361</v>
      </c>
      <c r="C297" s="47"/>
      <c r="D297" s="47">
        <f>5496+8404+1455</f>
        <v>15355</v>
      </c>
      <c r="E297" s="47"/>
      <c r="F297" s="47"/>
      <c r="G297" s="47"/>
      <c r="H297" s="49"/>
      <c r="I297" s="49">
        <v>6</v>
      </c>
    </row>
    <row r="298" spans="1:9">
      <c r="A298" s="84" t="s">
        <v>410</v>
      </c>
      <c r="B298" s="74">
        <f t="shared" si="4"/>
        <v>287292</v>
      </c>
      <c r="C298" s="50">
        <v>222299</v>
      </c>
      <c r="D298" s="50">
        <v>49896</v>
      </c>
      <c r="E298" s="50"/>
      <c r="F298" s="50"/>
      <c r="G298" s="50">
        <v>15097</v>
      </c>
      <c r="H298" s="51"/>
      <c r="I298" s="51"/>
    </row>
    <row r="299" spans="1:9">
      <c r="A299" s="84" t="s">
        <v>409</v>
      </c>
      <c r="B299" s="74">
        <f t="shared" si="4"/>
        <v>433206</v>
      </c>
      <c r="C299" s="47">
        <v>366487</v>
      </c>
      <c r="D299" s="47">
        <v>66719</v>
      </c>
      <c r="E299" s="47"/>
      <c r="F299" s="47"/>
      <c r="G299" s="47"/>
      <c r="H299" s="49"/>
      <c r="I299" s="49"/>
    </row>
    <row r="300" spans="1:9">
      <c r="A300" s="84" t="s">
        <v>408</v>
      </c>
      <c r="B300" s="74">
        <f t="shared" si="4"/>
        <v>244210</v>
      </c>
      <c r="C300" s="47">
        <v>201476</v>
      </c>
      <c r="D300" s="47">
        <v>42734</v>
      </c>
      <c r="E300" s="47"/>
      <c r="F300" s="47"/>
      <c r="G300" s="47"/>
      <c r="H300" s="49"/>
      <c r="I300" s="49"/>
    </row>
    <row r="301" spans="1:9">
      <c r="A301" s="84" t="s">
        <v>407</v>
      </c>
      <c r="B301" s="74">
        <f t="shared" si="4"/>
        <v>515281</v>
      </c>
      <c r="C301" s="47">
        <v>401909</v>
      </c>
      <c r="D301" s="47">
        <v>87118</v>
      </c>
      <c r="E301" s="47"/>
      <c r="F301" s="47"/>
      <c r="G301" s="47">
        <v>26254</v>
      </c>
      <c r="H301" s="49"/>
      <c r="I301" s="49"/>
    </row>
    <row r="302" spans="1:9" ht="30">
      <c r="A302" s="84" t="s">
        <v>406</v>
      </c>
      <c r="B302" s="74">
        <f t="shared" si="4"/>
        <v>43553</v>
      </c>
      <c r="C302" s="47">
        <v>24977</v>
      </c>
      <c r="D302" s="47">
        <v>18576</v>
      </c>
      <c r="E302" s="47"/>
      <c r="F302" s="47"/>
      <c r="G302" s="47"/>
      <c r="H302" s="49"/>
      <c r="I302" s="49"/>
    </row>
    <row r="303" spans="1:9" ht="30">
      <c r="A303" s="84" t="s">
        <v>405</v>
      </c>
      <c r="B303" s="74">
        <f t="shared" si="4"/>
        <v>59222</v>
      </c>
      <c r="C303" s="47">
        <v>58668</v>
      </c>
      <c r="D303" s="47"/>
      <c r="E303" s="47"/>
      <c r="F303" s="47"/>
      <c r="G303" s="47"/>
      <c r="H303" s="49"/>
      <c r="I303" s="49">
        <v>554</v>
      </c>
    </row>
    <row r="304" spans="1:9">
      <c r="A304" s="84" t="s">
        <v>404</v>
      </c>
      <c r="B304" s="74">
        <f t="shared" si="4"/>
        <v>32937</v>
      </c>
      <c r="C304" s="47">
        <v>28232</v>
      </c>
      <c r="D304" s="47">
        <v>2289</v>
      </c>
      <c r="E304" s="47"/>
      <c r="F304" s="47"/>
      <c r="G304" s="47">
        <v>2416</v>
      </c>
      <c r="H304" s="49"/>
      <c r="I304" s="49"/>
    </row>
    <row r="305" spans="1:9" ht="30">
      <c r="A305" s="84" t="s">
        <v>403</v>
      </c>
      <c r="B305" s="74">
        <f t="shared" si="4"/>
        <v>117120</v>
      </c>
      <c r="C305" s="47">
        <v>116741</v>
      </c>
      <c r="D305" s="47"/>
      <c r="E305" s="47"/>
      <c r="F305" s="47"/>
      <c r="G305" s="47"/>
      <c r="H305" s="49"/>
      <c r="I305" s="49">
        <v>379</v>
      </c>
    </row>
    <row r="306" spans="1:9">
      <c r="A306" s="84" t="s">
        <v>402</v>
      </c>
      <c r="B306" s="74">
        <f t="shared" si="4"/>
        <v>11500</v>
      </c>
      <c r="C306" s="47"/>
      <c r="D306" s="47">
        <v>11500</v>
      </c>
      <c r="E306" s="47"/>
      <c r="F306" s="47"/>
      <c r="G306" s="47"/>
      <c r="H306" s="49"/>
      <c r="I306" s="49"/>
    </row>
    <row r="307" spans="1:9">
      <c r="A307" s="84" t="s">
        <v>401</v>
      </c>
      <c r="B307" s="74">
        <f t="shared" si="4"/>
        <v>19522</v>
      </c>
      <c r="C307" s="47">
        <v>18582</v>
      </c>
      <c r="D307" s="47">
        <v>940</v>
      </c>
      <c r="E307" s="47"/>
      <c r="F307" s="47"/>
      <c r="G307" s="47"/>
      <c r="H307" s="49"/>
      <c r="I307" s="49"/>
    </row>
    <row r="308" spans="1:9">
      <c r="A308" s="84" t="s">
        <v>400</v>
      </c>
      <c r="B308" s="74">
        <f t="shared" si="4"/>
        <v>16331</v>
      </c>
      <c r="C308" s="47">
        <v>11347</v>
      </c>
      <c r="D308" s="47">
        <v>4984</v>
      </c>
      <c r="E308" s="47"/>
      <c r="F308" s="47"/>
      <c r="G308" s="47"/>
      <c r="H308" s="49"/>
      <c r="I308" s="49"/>
    </row>
    <row r="309" spans="1:9">
      <c r="A309" s="84" t="s">
        <v>399</v>
      </c>
      <c r="B309" s="74">
        <f t="shared" si="4"/>
        <v>2107</v>
      </c>
      <c r="C309" s="47"/>
      <c r="D309" s="47">
        <v>2107</v>
      </c>
      <c r="E309" s="47"/>
      <c r="F309" s="47"/>
      <c r="G309" s="47"/>
      <c r="H309" s="49"/>
      <c r="I309" s="49"/>
    </row>
    <row r="310" spans="1:9" ht="30">
      <c r="A310" s="84" t="s">
        <v>398</v>
      </c>
      <c r="B310" s="74">
        <f t="shared" si="4"/>
        <v>11339</v>
      </c>
      <c r="C310" s="50">
        <v>5286</v>
      </c>
      <c r="D310" s="50">
        <v>6053</v>
      </c>
      <c r="E310" s="50"/>
      <c r="F310" s="50"/>
      <c r="G310" s="50"/>
      <c r="H310" s="51"/>
      <c r="I310" s="51"/>
    </row>
    <row r="311" spans="1:9" ht="30">
      <c r="A311" s="84" t="s">
        <v>397</v>
      </c>
      <c r="B311" s="74">
        <f t="shared" si="4"/>
        <v>26702</v>
      </c>
      <c r="C311" s="47">
        <v>10927</v>
      </c>
      <c r="D311" s="47">
        <v>15775</v>
      </c>
      <c r="E311" s="47"/>
      <c r="F311" s="47"/>
      <c r="G311" s="47"/>
      <c r="H311" s="49"/>
      <c r="I311" s="49"/>
    </row>
    <row r="312" spans="1:9">
      <c r="A312" s="84" t="s">
        <v>396</v>
      </c>
      <c r="B312" s="74">
        <f t="shared" si="4"/>
        <v>14909</v>
      </c>
      <c r="C312" s="47">
        <v>10886</v>
      </c>
      <c r="D312" s="47">
        <v>4023</v>
      </c>
      <c r="E312" s="47"/>
      <c r="F312" s="47"/>
      <c r="G312" s="47"/>
      <c r="H312" s="49"/>
      <c r="I312" s="49"/>
    </row>
    <row r="313" spans="1:9" ht="30">
      <c r="A313" s="84" t="s">
        <v>395</v>
      </c>
      <c r="B313" s="74">
        <f t="shared" si="4"/>
        <v>54992</v>
      </c>
      <c r="C313" s="50">
        <v>48227</v>
      </c>
      <c r="D313" s="50">
        <v>6765</v>
      </c>
      <c r="E313" s="50"/>
      <c r="F313" s="50"/>
      <c r="G313" s="50"/>
      <c r="H313" s="51"/>
      <c r="I313" s="51"/>
    </row>
    <row r="314" spans="1:9" ht="30">
      <c r="A314" s="84" t="s">
        <v>394</v>
      </c>
      <c r="B314" s="74">
        <f t="shared" si="4"/>
        <v>38134</v>
      </c>
      <c r="C314" s="47">
        <v>15505</v>
      </c>
      <c r="D314" s="47">
        <v>20129</v>
      </c>
      <c r="E314" s="47"/>
      <c r="F314" s="47"/>
      <c r="G314" s="47">
        <v>2500</v>
      </c>
      <c r="H314" s="49"/>
      <c r="I314" s="49"/>
    </row>
    <row r="315" spans="1:9" ht="30">
      <c r="A315" s="84" t="s">
        <v>393</v>
      </c>
      <c r="B315" s="74">
        <f t="shared" si="4"/>
        <v>1080</v>
      </c>
      <c r="C315" s="47"/>
      <c r="D315" s="47">
        <v>1080</v>
      </c>
      <c r="E315" s="47"/>
      <c r="F315" s="47"/>
      <c r="G315" s="47"/>
      <c r="H315" s="49"/>
      <c r="I315" s="49"/>
    </row>
    <row r="316" spans="1:9" ht="30">
      <c r="A316" s="84" t="s">
        <v>392</v>
      </c>
      <c r="B316" s="74">
        <f t="shared" si="4"/>
        <v>820</v>
      </c>
      <c r="C316" s="47"/>
      <c r="D316" s="47">
        <v>820</v>
      </c>
      <c r="E316" s="47"/>
      <c r="F316" s="47"/>
      <c r="G316" s="47"/>
      <c r="H316" s="49"/>
      <c r="I316" s="49"/>
    </row>
    <row r="317" spans="1:9">
      <c r="A317" s="85" t="s">
        <v>414</v>
      </c>
      <c r="B317" s="74">
        <f t="shared" si="4"/>
        <v>339796</v>
      </c>
      <c r="C317" s="80">
        <v>294030</v>
      </c>
      <c r="D317" s="80">
        <v>40121</v>
      </c>
      <c r="E317" s="79"/>
      <c r="F317" s="79"/>
      <c r="G317" s="80">
        <v>5645</v>
      </c>
      <c r="H317" s="79"/>
      <c r="I317" s="79"/>
    </row>
    <row r="318" spans="1:9">
      <c r="A318" s="85" t="s">
        <v>415</v>
      </c>
      <c r="B318" s="74">
        <f t="shared" si="4"/>
        <v>630118</v>
      </c>
      <c r="C318" s="80">
        <v>454380</v>
      </c>
      <c r="D318" s="80">
        <v>110066</v>
      </c>
      <c r="E318" s="79"/>
      <c r="F318" s="79"/>
      <c r="G318" s="125">
        <v>65672</v>
      </c>
      <c r="H318" s="79"/>
      <c r="I318" s="79"/>
    </row>
    <row r="319" spans="1:9">
      <c r="A319" s="85" t="s">
        <v>416</v>
      </c>
      <c r="B319" s="74">
        <f t="shared" si="4"/>
        <v>89040</v>
      </c>
      <c r="C319" s="80">
        <v>67815</v>
      </c>
      <c r="D319" s="80">
        <v>21225</v>
      </c>
      <c r="E319" s="79"/>
      <c r="F319" s="79"/>
      <c r="G319" s="79"/>
      <c r="H319" s="79"/>
      <c r="I319" s="79"/>
    </row>
    <row r="320" spans="1:9" ht="30">
      <c r="A320" s="85" t="s">
        <v>417</v>
      </c>
      <c r="B320" s="74">
        <f t="shared" si="4"/>
        <v>22686</v>
      </c>
      <c r="C320" s="80">
        <v>19126</v>
      </c>
      <c r="D320" s="80">
        <v>3560</v>
      </c>
      <c r="E320" s="79"/>
      <c r="F320" s="79"/>
      <c r="G320" s="80">
        <v>0</v>
      </c>
      <c r="H320" s="79"/>
      <c r="I320" s="79"/>
    </row>
    <row r="321" spans="1:9" ht="30">
      <c r="A321" s="85" t="s">
        <v>418</v>
      </c>
      <c r="B321" s="74">
        <f t="shared" si="4"/>
        <v>57744</v>
      </c>
      <c r="C321" s="80">
        <v>22390</v>
      </c>
      <c r="D321" s="80">
        <v>35354</v>
      </c>
      <c r="E321" s="79"/>
      <c r="F321" s="79"/>
      <c r="G321" s="79"/>
      <c r="H321" s="79"/>
      <c r="I321" s="79"/>
    </row>
    <row r="322" spans="1:9" ht="30">
      <c r="A322" s="85" t="s">
        <v>70</v>
      </c>
      <c r="B322" s="74">
        <f t="shared" si="4"/>
        <v>1200</v>
      </c>
      <c r="C322" s="79"/>
      <c r="D322" s="80">
        <v>1200</v>
      </c>
      <c r="E322" s="79"/>
      <c r="F322" s="79"/>
      <c r="G322" s="79"/>
      <c r="H322" s="79"/>
      <c r="I322" s="79"/>
    </row>
    <row r="323" spans="1:9">
      <c r="A323" s="85" t="s">
        <v>419</v>
      </c>
      <c r="B323" s="74">
        <f t="shared" si="4"/>
        <v>45246</v>
      </c>
      <c r="C323" s="80">
        <v>37462</v>
      </c>
      <c r="D323" s="80">
        <v>2357</v>
      </c>
      <c r="E323" s="79"/>
      <c r="F323" s="79"/>
      <c r="G323" s="80">
        <v>5000</v>
      </c>
      <c r="H323" s="79"/>
      <c r="I323" s="80">
        <v>427</v>
      </c>
    </row>
    <row r="324" spans="1:9" ht="45">
      <c r="A324" s="90" t="s">
        <v>455</v>
      </c>
      <c r="B324" s="74">
        <f t="shared" si="4"/>
        <v>5100</v>
      </c>
      <c r="C324" s="112">
        <v>3500</v>
      </c>
      <c r="D324" s="79">
        <v>1600</v>
      </c>
      <c r="E324" s="79"/>
      <c r="F324" s="79"/>
      <c r="G324" s="79"/>
      <c r="H324" s="79"/>
      <c r="I324" s="79"/>
    </row>
    <row r="325" spans="1:9" ht="30">
      <c r="A325" s="85" t="s">
        <v>420</v>
      </c>
      <c r="B325" s="74">
        <f t="shared" si="4"/>
        <v>4755</v>
      </c>
      <c r="C325" s="80">
        <v>3305</v>
      </c>
      <c r="D325" s="80">
        <v>1450</v>
      </c>
      <c r="E325" s="79"/>
      <c r="F325" s="79"/>
      <c r="G325" s="79"/>
      <c r="H325" s="79"/>
      <c r="I325" s="79"/>
    </row>
    <row r="326" spans="1:9" ht="45">
      <c r="A326" s="85" t="s">
        <v>421</v>
      </c>
      <c r="B326" s="74">
        <f t="shared" si="4"/>
        <v>24812</v>
      </c>
      <c r="C326" s="80">
        <v>20617</v>
      </c>
      <c r="D326" s="80">
        <v>515</v>
      </c>
      <c r="E326" s="80">
        <v>3680</v>
      </c>
      <c r="F326" s="79"/>
      <c r="G326" s="79"/>
      <c r="H326" s="79"/>
      <c r="I326" s="79"/>
    </row>
    <row r="327" spans="1:9" ht="30">
      <c r="A327" s="85" t="s">
        <v>411</v>
      </c>
      <c r="B327" s="74">
        <f t="shared" si="4"/>
        <v>9675</v>
      </c>
      <c r="C327" s="79">
        <v>8875</v>
      </c>
      <c r="D327" s="79">
        <v>800</v>
      </c>
      <c r="E327" s="79"/>
      <c r="F327" s="79"/>
      <c r="G327" s="79"/>
      <c r="H327" s="88"/>
      <c r="I327" s="79"/>
    </row>
    <row r="328" spans="1:9" ht="30">
      <c r="A328" s="85" t="s">
        <v>422</v>
      </c>
      <c r="B328" s="74">
        <f t="shared" si="4"/>
        <v>2349</v>
      </c>
      <c r="C328" s="79"/>
      <c r="D328" s="80">
        <v>2349</v>
      </c>
      <c r="E328" s="79"/>
      <c r="F328" s="79"/>
      <c r="G328" s="79"/>
      <c r="H328" s="79"/>
      <c r="I328" s="79"/>
    </row>
    <row r="329" spans="1:9" ht="30">
      <c r="A329" s="85" t="s">
        <v>423</v>
      </c>
      <c r="B329" s="74">
        <f t="shared" si="4"/>
        <v>16372</v>
      </c>
      <c r="C329" s="79"/>
      <c r="D329" s="80">
        <v>16372</v>
      </c>
      <c r="E329" s="79"/>
      <c r="F329" s="79"/>
      <c r="G329" s="79"/>
      <c r="H329" s="79"/>
      <c r="I329" s="79"/>
    </row>
    <row r="330" spans="1:9">
      <c r="A330" s="85" t="s">
        <v>451</v>
      </c>
      <c r="B330" s="74">
        <f t="shared" si="4"/>
        <v>26254</v>
      </c>
      <c r="C330" s="79"/>
      <c r="D330" s="79"/>
      <c r="E330" s="80">
        <v>26254</v>
      </c>
      <c r="F330" s="79"/>
      <c r="G330" s="88"/>
      <c r="H330" s="88"/>
      <c r="I330" s="79"/>
    </row>
    <row r="331" spans="1:9">
      <c r="A331" s="77" t="s">
        <v>430</v>
      </c>
      <c r="B331" s="74">
        <f t="shared" si="4"/>
        <v>100495</v>
      </c>
      <c r="C331" s="47">
        <v>82803</v>
      </c>
      <c r="D331" s="47">
        <v>17485</v>
      </c>
      <c r="E331" s="47"/>
      <c r="F331" s="47"/>
      <c r="G331" s="47">
        <v>207</v>
      </c>
      <c r="H331" s="49"/>
      <c r="I331" s="49"/>
    </row>
    <row r="332" spans="1:9">
      <c r="A332" s="77" t="s">
        <v>429</v>
      </c>
      <c r="B332" s="74">
        <f t="shared" si="4"/>
        <v>296681</v>
      </c>
      <c r="C332" s="47">
        <v>236468</v>
      </c>
      <c r="D332" s="47">
        <v>51856</v>
      </c>
      <c r="E332" s="47"/>
      <c r="F332" s="47"/>
      <c r="G332" s="47">
        <v>8357</v>
      </c>
      <c r="H332" s="49"/>
      <c r="I332" s="49"/>
    </row>
    <row r="333" spans="1:9" ht="30">
      <c r="A333" s="132" t="s">
        <v>411</v>
      </c>
      <c r="B333" s="74">
        <f t="shared" si="4"/>
        <v>7001</v>
      </c>
      <c r="C333" s="128">
        <v>5764</v>
      </c>
      <c r="D333" s="128">
        <v>1237</v>
      </c>
      <c r="E333" s="128"/>
      <c r="F333" s="128"/>
      <c r="G333" s="128"/>
      <c r="H333" s="131"/>
      <c r="I333" s="131"/>
    </row>
    <row r="334" spans="1:9" ht="30">
      <c r="A334" s="133" t="s">
        <v>428</v>
      </c>
      <c r="B334" s="74">
        <f t="shared" ref="B334:B389" si="5">SUM(C334:I334)</f>
        <v>32192</v>
      </c>
      <c r="C334" s="130">
        <v>31702</v>
      </c>
      <c r="D334" s="130">
        <v>490</v>
      </c>
      <c r="E334" s="130"/>
      <c r="F334" s="130"/>
      <c r="G334" s="130"/>
      <c r="H334" s="129"/>
      <c r="I334" s="129"/>
    </row>
    <row r="335" spans="1:9" ht="45">
      <c r="A335" s="90" t="s">
        <v>210</v>
      </c>
      <c r="B335" s="74">
        <f t="shared" si="5"/>
        <v>12262</v>
      </c>
      <c r="C335" s="128">
        <v>12052</v>
      </c>
      <c r="D335" s="128">
        <v>210</v>
      </c>
      <c r="E335" s="127"/>
      <c r="F335" s="127"/>
      <c r="G335" s="127"/>
      <c r="H335" s="127"/>
      <c r="I335" s="127"/>
    </row>
    <row r="336" spans="1:9">
      <c r="A336" s="134" t="s">
        <v>427</v>
      </c>
      <c r="B336" s="74">
        <f t="shared" si="5"/>
        <v>5000</v>
      </c>
      <c r="C336" s="47"/>
      <c r="D336" s="47">
        <v>5000</v>
      </c>
      <c r="E336" s="47"/>
      <c r="F336" s="47"/>
      <c r="G336" s="47"/>
      <c r="H336" s="47"/>
      <c r="I336" s="127"/>
    </row>
    <row r="337" spans="1:9">
      <c r="A337" s="134" t="s">
        <v>426</v>
      </c>
      <c r="B337" s="74">
        <f t="shared" si="5"/>
        <v>149258</v>
      </c>
      <c r="C337" s="47">
        <v>134079</v>
      </c>
      <c r="D337" s="47">
        <v>14286</v>
      </c>
      <c r="E337" s="47"/>
      <c r="F337" s="47"/>
      <c r="G337" s="47">
        <v>893</v>
      </c>
      <c r="H337" s="47"/>
      <c r="I337" s="127"/>
    </row>
    <row r="338" spans="1:9" ht="30">
      <c r="A338" s="90" t="s">
        <v>425</v>
      </c>
      <c r="B338" s="74">
        <f t="shared" si="5"/>
        <v>1668</v>
      </c>
      <c r="C338" s="47"/>
      <c r="D338" s="47">
        <v>570</v>
      </c>
      <c r="E338" s="47"/>
      <c r="F338" s="47"/>
      <c r="G338" s="47">
        <v>1098</v>
      </c>
      <c r="H338" s="47"/>
      <c r="I338" s="127"/>
    </row>
    <row r="339" spans="1:9">
      <c r="A339" s="90" t="s">
        <v>424</v>
      </c>
      <c r="B339" s="74">
        <f t="shared" si="5"/>
        <v>14054</v>
      </c>
      <c r="C339" s="47">
        <v>7443</v>
      </c>
      <c r="D339" s="47">
        <v>6611</v>
      </c>
      <c r="E339" s="47"/>
      <c r="F339" s="47"/>
      <c r="G339" s="47"/>
      <c r="H339" s="47"/>
      <c r="I339" s="127"/>
    </row>
    <row r="340" spans="1:9" ht="30">
      <c r="A340" s="90" t="s">
        <v>70</v>
      </c>
      <c r="B340" s="74">
        <f t="shared" si="5"/>
        <v>250</v>
      </c>
      <c r="C340" s="47"/>
      <c r="D340" s="47"/>
      <c r="E340" s="47"/>
      <c r="F340" s="47"/>
      <c r="G340" s="47"/>
      <c r="H340" s="47">
        <v>250</v>
      </c>
      <c r="I340" s="47"/>
    </row>
    <row r="341" spans="1:9" ht="30">
      <c r="A341" s="103" t="s">
        <v>445</v>
      </c>
      <c r="B341" s="74">
        <f t="shared" si="5"/>
        <v>677</v>
      </c>
      <c r="C341" s="126">
        <v>177</v>
      </c>
      <c r="D341" s="126"/>
      <c r="E341" s="126"/>
      <c r="F341" s="126"/>
      <c r="G341" s="126"/>
      <c r="H341" s="126"/>
      <c r="I341" s="126">
        <v>500</v>
      </c>
    </row>
    <row r="342" spans="1:9">
      <c r="A342" s="66" t="s">
        <v>71</v>
      </c>
      <c r="B342" s="74">
        <f t="shared" si="5"/>
        <v>1373430</v>
      </c>
      <c r="C342" s="47">
        <f>624357+174972</f>
        <v>799329</v>
      </c>
      <c r="D342" s="47">
        <f>600+70271+500620+610+2000</f>
        <v>574101</v>
      </c>
      <c r="E342" s="47">
        <v>0</v>
      </c>
      <c r="F342" s="47">
        <v>0</v>
      </c>
      <c r="G342" s="47"/>
      <c r="H342" s="49">
        <v>0</v>
      </c>
      <c r="I342" s="49">
        <v>0</v>
      </c>
    </row>
    <row r="343" spans="1:9">
      <c r="A343" s="66" t="s">
        <v>282</v>
      </c>
      <c r="B343" s="74">
        <f t="shared" si="5"/>
        <v>235645</v>
      </c>
      <c r="C343" s="47">
        <v>143646</v>
      </c>
      <c r="D343" s="47">
        <v>91499</v>
      </c>
      <c r="E343" s="47">
        <v>0</v>
      </c>
      <c r="F343" s="47">
        <v>0</v>
      </c>
      <c r="G343" s="47">
        <v>500</v>
      </c>
      <c r="H343" s="49">
        <v>0</v>
      </c>
      <c r="I343" s="49">
        <v>0</v>
      </c>
    </row>
    <row r="344" spans="1:9">
      <c r="A344" s="86" t="s">
        <v>284</v>
      </c>
      <c r="B344" s="74">
        <f t="shared" si="5"/>
        <v>195314</v>
      </c>
      <c r="C344" s="47">
        <v>138403</v>
      </c>
      <c r="D344" s="47">
        <v>56311</v>
      </c>
      <c r="E344" s="47">
        <v>0</v>
      </c>
      <c r="F344" s="47">
        <v>0</v>
      </c>
      <c r="G344" s="47">
        <v>600</v>
      </c>
      <c r="H344" s="49">
        <v>0</v>
      </c>
      <c r="I344" s="49">
        <v>0</v>
      </c>
    </row>
    <row r="345" spans="1:9">
      <c r="A345" s="86" t="s">
        <v>283</v>
      </c>
      <c r="B345" s="74">
        <f t="shared" si="5"/>
        <v>255081</v>
      </c>
      <c r="C345" s="47">
        <v>185691</v>
      </c>
      <c r="D345" s="47">
        <v>68090</v>
      </c>
      <c r="E345" s="47">
        <v>0</v>
      </c>
      <c r="F345" s="47">
        <v>0</v>
      </c>
      <c r="G345" s="47">
        <v>1300</v>
      </c>
      <c r="H345" s="49">
        <v>0</v>
      </c>
      <c r="I345" s="49">
        <v>0</v>
      </c>
    </row>
    <row r="346" spans="1:9">
      <c r="A346" s="86" t="s">
        <v>460</v>
      </c>
      <c r="B346" s="74">
        <f t="shared" si="5"/>
        <v>1900</v>
      </c>
      <c r="C346" s="47"/>
      <c r="D346" s="47">
        <v>1900</v>
      </c>
      <c r="E346" s="47"/>
      <c r="F346" s="47"/>
      <c r="G346" s="47"/>
      <c r="H346" s="49"/>
      <c r="I346" s="49"/>
    </row>
    <row r="347" spans="1:9">
      <c r="A347" s="66" t="s">
        <v>72</v>
      </c>
      <c r="B347" s="74">
        <f t="shared" si="5"/>
        <v>234814</v>
      </c>
      <c r="C347" s="47">
        <f>90720+26542+25748+17202+50906</f>
        <v>211118</v>
      </c>
      <c r="D347" s="47">
        <f>300+5943+4905+9000+961+2587</f>
        <v>23696</v>
      </c>
      <c r="E347" s="47">
        <v>0</v>
      </c>
      <c r="F347" s="47">
        <v>0</v>
      </c>
      <c r="G347" s="47"/>
      <c r="H347" s="49">
        <v>0</v>
      </c>
      <c r="I347" s="49">
        <v>0</v>
      </c>
    </row>
    <row r="348" spans="1:9">
      <c r="A348" s="66" t="s">
        <v>73</v>
      </c>
      <c r="B348" s="74">
        <f t="shared" si="5"/>
        <v>409819</v>
      </c>
      <c r="C348" s="47">
        <f>283911+88158</f>
        <v>372069</v>
      </c>
      <c r="D348" s="47">
        <f>530+24750+12150+320</f>
        <v>37750</v>
      </c>
      <c r="E348" s="47">
        <v>0</v>
      </c>
      <c r="F348" s="47">
        <v>0</v>
      </c>
      <c r="G348" s="47"/>
      <c r="H348" s="49">
        <v>0</v>
      </c>
      <c r="I348" s="49">
        <v>0</v>
      </c>
    </row>
    <row r="349" spans="1:9" ht="30">
      <c r="A349" s="66" t="s">
        <v>462</v>
      </c>
      <c r="B349" s="74">
        <f t="shared" si="5"/>
        <v>125909</v>
      </c>
      <c r="C349" s="47">
        <v>106239</v>
      </c>
      <c r="D349" s="47">
        <v>15949</v>
      </c>
      <c r="E349" s="47"/>
      <c r="F349" s="47"/>
      <c r="G349" s="47">
        <v>825</v>
      </c>
      <c r="H349" s="49">
        <v>2896</v>
      </c>
      <c r="I349" s="49"/>
    </row>
    <row r="350" spans="1:9">
      <c r="A350" s="66" t="s">
        <v>74</v>
      </c>
      <c r="B350" s="74">
        <f t="shared" si="5"/>
        <v>23175</v>
      </c>
      <c r="C350" s="47">
        <v>0</v>
      </c>
      <c r="D350" s="47">
        <f>17370+5805</f>
        <v>23175</v>
      </c>
      <c r="E350" s="47">
        <v>0</v>
      </c>
      <c r="F350" s="47">
        <v>0</v>
      </c>
      <c r="G350" s="47">
        <v>0</v>
      </c>
      <c r="H350" s="49">
        <v>0</v>
      </c>
      <c r="I350" s="49">
        <v>0</v>
      </c>
    </row>
    <row r="351" spans="1:9">
      <c r="A351" s="66" t="s">
        <v>162</v>
      </c>
      <c r="B351" s="74">
        <f t="shared" si="5"/>
        <v>51354</v>
      </c>
      <c r="C351" s="47">
        <f>2400+579</f>
        <v>2979</v>
      </c>
      <c r="D351" s="47">
        <v>9222</v>
      </c>
      <c r="E351" s="47">
        <v>0</v>
      </c>
      <c r="F351" s="47">
        <v>0</v>
      </c>
      <c r="G351" s="47"/>
      <c r="H351" s="49">
        <v>39153</v>
      </c>
      <c r="I351" s="49">
        <v>0</v>
      </c>
    </row>
    <row r="352" spans="1:9">
      <c r="A352" s="66" t="s">
        <v>488</v>
      </c>
      <c r="B352" s="74">
        <f t="shared" si="5"/>
        <v>430000</v>
      </c>
      <c r="C352" s="47">
        <v>0</v>
      </c>
      <c r="D352" s="47">
        <v>0</v>
      </c>
      <c r="E352" s="47">
        <v>0</v>
      </c>
      <c r="F352" s="47">
        <v>0</v>
      </c>
      <c r="G352" s="47"/>
      <c r="H352" s="49">
        <v>430000</v>
      </c>
      <c r="I352" s="49">
        <v>0</v>
      </c>
    </row>
    <row r="353" spans="1:9">
      <c r="A353" s="86" t="s">
        <v>489</v>
      </c>
      <c r="B353" s="76">
        <f>SUM(C353:I353)</f>
        <v>161876</v>
      </c>
      <c r="C353" s="50"/>
      <c r="D353" s="50"/>
      <c r="E353" s="50"/>
      <c r="F353" s="50"/>
      <c r="G353" s="50"/>
      <c r="H353" s="51">
        <v>161876</v>
      </c>
      <c r="I353" s="51"/>
    </row>
    <row r="354" spans="1:9">
      <c r="A354" s="86" t="s">
        <v>490</v>
      </c>
      <c r="B354" s="76">
        <f>SUM(C354:I354)</f>
        <v>74801</v>
      </c>
      <c r="C354" s="50"/>
      <c r="D354" s="50"/>
      <c r="E354" s="50"/>
      <c r="F354" s="50"/>
      <c r="G354" s="50"/>
      <c r="H354" s="51">
        <v>74801</v>
      </c>
      <c r="I354" s="51"/>
    </row>
    <row r="355" spans="1:9">
      <c r="A355" s="86" t="s">
        <v>491</v>
      </c>
      <c r="B355" s="76">
        <f>SUM(C355:I355)</f>
        <v>49591</v>
      </c>
      <c r="C355" s="50"/>
      <c r="D355" s="50"/>
      <c r="E355" s="50"/>
      <c r="F355" s="50"/>
      <c r="G355" s="50"/>
      <c r="H355" s="51">
        <v>49591</v>
      </c>
      <c r="I355" s="51"/>
    </row>
    <row r="356" spans="1:9" ht="60">
      <c r="A356" s="67" t="s">
        <v>193</v>
      </c>
      <c r="B356" s="74">
        <f t="shared" si="5"/>
        <v>24762</v>
      </c>
      <c r="C356" s="47">
        <f>6182+1705</f>
        <v>7887</v>
      </c>
      <c r="D356" s="47">
        <f>16+648</f>
        <v>664</v>
      </c>
      <c r="E356" s="47">
        <v>0</v>
      </c>
      <c r="F356" s="47">
        <v>0</v>
      </c>
      <c r="G356" s="47">
        <v>0</v>
      </c>
      <c r="H356" s="49">
        <v>16211</v>
      </c>
      <c r="I356" s="49">
        <v>0</v>
      </c>
    </row>
    <row r="357" spans="1:9" ht="45">
      <c r="A357" s="84" t="s">
        <v>495</v>
      </c>
      <c r="B357" s="76">
        <f t="shared" ref="B357:B365" si="6">SUM(C357:I357)</f>
        <v>102798</v>
      </c>
      <c r="C357" s="47">
        <v>43416</v>
      </c>
      <c r="D357" s="47">
        <v>45203</v>
      </c>
      <c r="E357" s="47"/>
      <c r="F357" s="47"/>
      <c r="G357" s="47">
        <v>14179</v>
      </c>
      <c r="H357" s="49"/>
      <c r="I357" s="49"/>
    </row>
    <row r="358" spans="1:9" ht="30">
      <c r="A358" s="86" t="s">
        <v>492</v>
      </c>
      <c r="B358" s="76">
        <f t="shared" si="6"/>
        <v>6407</v>
      </c>
      <c r="C358" s="50"/>
      <c r="D358" s="50">
        <v>6407</v>
      </c>
      <c r="E358" s="50"/>
      <c r="F358" s="50"/>
      <c r="G358" s="50"/>
      <c r="H358" s="51"/>
      <c r="I358" s="51"/>
    </row>
    <row r="359" spans="1:9" ht="30">
      <c r="A359" s="86" t="s">
        <v>493</v>
      </c>
      <c r="B359" s="76">
        <f t="shared" si="6"/>
        <v>1100</v>
      </c>
      <c r="C359" s="47"/>
      <c r="D359" s="47">
        <v>1100</v>
      </c>
      <c r="E359" s="47"/>
      <c r="F359" s="47"/>
      <c r="G359" s="47"/>
      <c r="H359" s="49"/>
      <c r="I359" s="49"/>
    </row>
    <row r="360" spans="1:9" ht="30">
      <c r="A360" s="86" t="s">
        <v>494</v>
      </c>
      <c r="B360" s="76">
        <f t="shared" si="6"/>
        <v>5700</v>
      </c>
      <c r="C360" s="47"/>
      <c r="D360" s="47">
        <v>2200</v>
      </c>
      <c r="E360" s="47"/>
      <c r="F360" s="47"/>
      <c r="G360" s="47">
        <v>3500</v>
      </c>
      <c r="H360" s="49"/>
      <c r="I360" s="49"/>
    </row>
    <row r="361" spans="1:9" ht="45">
      <c r="A361" s="67" t="s">
        <v>206</v>
      </c>
      <c r="B361" s="76">
        <f t="shared" si="6"/>
        <v>29465</v>
      </c>
      <c r="C361" s="47">
        <v>0</v>
      </c>
      <c r="D361" s="47">
        <v>0</v>
      </c>
      <c r="E361" s="47">
        <v>0</v>
      </c>
      <c r="F361" s="47">
        <v>0</v>
      </c>
      <c r="G361" s="47">
        <v>0</v>
      </c>
      <c r="H361" s="49">
        <v>0</v>
      </c>
      <c r="I361" s="49">
        <f>16200+13265</f>
        <v>29465</v>
      </c>
    </row>
    <row r="362" spans="1:9" ht="30">
      <c r="A362" s="66" t="s">
        <v>75</v>
      </c>
      <c r="B362" s="76">
        <f t="shared" si="6"/>
        <v>179094</v>
      </c>
      <c r="C362" s="47">
        <f>106428+26285+3707+31868</f>
        <v>168288</v>
      </c>
      <c r="D362" s="47">
        <f>180+5652+4224+10+700</f>
        <v>10766</v>
      </c>
      <c r="E362" s="47">
        <v>0</v>
      </c>
      <c r="F362" s="47">
        <v>0</v>
      </c>
      <c r="G362" s="47">
        <v>0</v>
      </c>
      <c r="H362" s="49">
        <v>40</v>
      </c>
      <c r="I362" s="49">
        <v>0</v>
      </c>
    </row>
    <row r="363" spans="1:9" ht="30">
      <c r="A363" s="66" t="s">
        <v>155</v>
      </c>
      <c r="B363" s="76">
        <f t="shared" si="6"/>
        <v>13062</v>
      </c>
      <c r="C363" s="47">
        <f>7303+1722</f>
        <v>9025</v>
      </c>
      <c r="D363" s="47">
        <f>4037</f>
        <v>4037</v>
      </c>
      <c r="E363" s="47">
        <v>0</v>
      </c>
      <c r="F363" s="47"/>
      <c r="G363" s="47"/>
      <c r="H363" s="49"/>
      <c r="I363" s="49"/>
    </row>
    <row r="364" spans="1:9" ht="30">
      <c r="A364" s="67" t="s">
        <v>156</v>
      </c>
      <c r="B364" s="76">
        <f t="shared" si="6"/>
        <v>29850</v>
      </c>
      <c r="C364" s="47">
        <f>9670+2330</f>
        <v>12000</v>
      </c>
      <c r="D364" s="47">
        <v>0</v>
      </c>
      <c r="E364" s="47">
        <v>0</v>
      </c>
      <c r="F364" s="47"/>
      <c r="G364" s="47"/>
      <c r="H364" s="49">
        <v>17850</v>
      </c>
      <c r="I364" s="49"/>
    </row>
    <row r="365" spans="1:9" ht="31.5">
      <c r="A365" s="68" t="s">
        <v>207</v>
      </c>
      <c r="B365" s="76">
        <f t="shared" si="6"/>
        <v>214333</v>
      </c>
      <c r="C365" s="47">
        <f>120402+33895</f>
        <v>154297</v>
      </c>
      <c r="D365" s="47">
        <f>320+25755+24361</f>
        <v>50436</v>
      </c>
      <c r="E365" s="47">
        <v>0</v>
      </c>
      <c r="F365" s="47"/>
      <c r="G365" s="47"/>
      <c r="H365" s="49">
        <v>9600</v>
      </c>
      <c r="I365" s="49"/>
    </row>
    <row r="366" spans="1:9">
      <c r="A366" s="85" t="s">
        <v>466</v>
      </c>
      <c r="B366" s="74">
        <f t="shared" si="5"/>
        <v>57602</v>
      </c>
      <c r="C366" s="80">
        <v>48272</v>
      </c>
      <c r="D366" s="80">
        <v>8630</v>
      </c>
      <c r="E366" s="79"/>
      <c r="F366" s="79"/>
      <c r="G366" s="80">
        <v>700</v>
      </c>
      <c r="H366" s="79"/>
      <c r="I366" s="79"/>
    </row>
    <row r="367" spans="1:9">
      <c r="A367" s="85" t="s">
        <v>467</v>
      </c>
      <c r="B367" s="74">
        <f t="shared" si="5"/>
        <v>11164</v>
      </c>
      <c r="C367" s="80">
        <v>9964</v>
      </c>
      <c r="D367" s="80">
        <v>1200</v>
      </c>
      <c r="E367" s="79"/>
      <c r="F367" s="79"/>
      <c r="G367" s="79"/>
      <c r="H367" s="79"/>
      <c r="I367" s="79"/>
    </row>
    <row r="368" spans="1:9" ht="30">
      <c r="A368" s="85" t="s">
        <v>468</v>
      </c>
      <c r="B368" s="74">
        <f t="shared" si="5"/>
        <v>4364</v>
      </c>
      <c r="C368" s="80">
        <v>3664</v>
      </c>
      <c r="D368" s="80">
        <v>700</v>
      </c>
      <c r="E368" s="79"/>
      <c r="F368" s="79"/>
      <c r="G368" s="79"/>
      <c r="H368" s="79"/>
      <c r="I368" s="79"/>
    </row>
    <row r="369" spans="1:9">
      <c r="A369" s="85" t="s">
        <v>469</v>
      </c>
      <c r="B369" s="74">
        <f t="shared" si="5"/>
        <v>300</v>
      </c>
      <c r="C369" s="93"/>
      <c r="D369" s="93"/>
      <c r="E369" s="94">
        <v>300</v>
      </c>
      <c r="F369" s="93"/>
      <c r="G369" s="93"/>
      <c r="H369" s="93"/>
      <c r="I369" s="93"/>
    </row>
    <row r="370" spans="1:9" ht="90">
      <c r="A370" s="136" t="s">
        <v>464</v>
      </c>
      <c r="B370" s="74">
        <f t="shared" si="5"/>
        <v>14784</v>
      </c>
      <c r="C370" s="96"/>
      <c r="D370" s="96"/>
      <c r="E370" s="96"/>
      <c r="F370" s="96"/>
      <c r="G370" s="96">
        <v>14784</v>
      </c>
      <c r="H370" s="96"/>
      <c r="I370" s="96"/>
    </row>
    <row r="371" spans="1:9">
      <c r="A371" s="85" t="s">
        <v>465</v>
      </c>
      <c r="B371" s="74">
        <f t="shared" si="5"/>
        <v>79237</v>
      </c>
      <c r="C371" s="138">
        <v>57662</v>
      </c>
      <c r="D371" s="138">
        <v>21575</v>
      </c>
      <c r="E371" s="139"/>
      <c r="F371" s="139"/>
      <c r="G371" s="139"/>
      <c r="H371" s="139"/>
      <c r="I371" s="139"/>
    </row>
    <row r="372" spans="1:9">
      <c r="A372" s="92" t="s">
        <v>470</v>
      </c>
      <c r="B372" s="74">
        <f t="shared" si="5"/>
        <v>32844</v>
      </c>
      <c r="C372" s="97">
        <v>28486</v>
      </c>
      <c r="D372" s="97">
        <v>3120</v>
      </c>
      <c r="E372" s="96"/>
      <c r="F372" s="96"/>
      <c r="G372" s="96"/>
      <c r="H372" s="96"/>
      <c r="I372" s="96">
        <v>1238</v>
      </c>
    </row>
    <row r="373" spans="1:9" ht="45">
      <c r="A373" s="67" t="s">
        <v>159</v>
      </c>
      <c r="B373" s="74">
        <f t="shared" si="5"/>
        <v>13219</v>
      </c>
      <c r="C373" s="47">
        <f>5967+1492</f>
        <v>7459</v>
      </c>
      <c r="D373" s="47">
        <f>281+1401+4078</f>
        <v>5760</v>
      </c>
      <c r="E373" s="47">
        <v>0</v>
      </c>
      <c r="F373" s="47">
        <v>0</v>
      </c>
      <c r="G373" s="47">
        <v>0</v>
      </c>
      <c r="H373" s="49">
        <v>0</v>
      </c>
      <c r="I373" s="49">
        <v>0</v>
      </c>
    </row>
    <row r="374" spans="1:9">
      <c r="A374" s="69" t="s">
        <v>170</v>
      </c>
      <c r="B374" s="74">
        <f t="shared" si="5"/>
        <v>4424</v>
      </c>
      <c r="C374" s="47">
        <v>0</v>
      </c>
      <c r="D374" s="47">
        <v>0</v>
      </c>
      <c r="E374" s="47">
        <v>4424</v>
      </c>
      <c r="F374" s="47"/>
      <c r="G374" s="47">
        <v>0</v>
      </c>
      <c r="H374" s="49"/>
      <c r="I374" s="49"/>
    </row>
    <row r="375" spans="1:9" ht="75">
      <c r="A375" s="46" t="s">
        <v>203</v>
      </c>
      <c r="B375" s="74">
        <f t="shared" si="5"/>
        <v>12936</v>
      </c>
      <c r="C375" s="47">
        <f>3236+764</f>
        <v>4000</v>
      </c>
      <c r="D375" s="47">
        <f>7936+1000</f>
        <v>8936</v>
      </c>
      <c r="E375" s="47"/>
      <c r="F375" s="47"/>
      <c r="G375" s="47"/>
      <c r="H375" s="49"/>
      <c r="I375" s="49"/>
    </row>
    <row r="376" spans="1:9" ht="45">
      <c r="A376" s="67" t="s">
        <v>201</v>
      </c>
      <c r="B376" s="74">
        <f t="shared" si="5"/>
        <v>23141</v>
      </c>
      <c r="C376" s="47">
        <v>0</v>
      </c>
      <c r="D376" s="47">
        <f>19341+80+3720</f>
        <v>23141</v>
      </c>
      <c r="E376" s="47"/>
      <c r="F376" s="47"/>
      <c r="G376" s="47"/>
      <c r="H376" s="49"/>
      <c r="I376" s="49"/>
    </row>
    <row r="377" spans="1:9" ht="45">
      <c r="A377" s="66" t="s">
        <v>205</v>
      </c>
      <c r="B377" s="74">
        <f t="shared" si="5"/>
        <v>17160</v>
      </c>
      <c r="C377" s="47"/>
      <c r="D377" s="47">
        <f>13160+160+3840</f>
        <v>17160</v>
      </c>
      <c r="E377" s="47"/>
      <c r="F377" s="47"/>
      <c r="G377" s="47"/>
      <c r="H377" s="49"/>
      <c r="I377" s="49"/>
    </row>
    <row r="378" spans="1:9" ht="30">
      <c r="A378" s="46" t="s">
        <v>163</v>
      </c>
      <c r="B378" s="74">
        <f t="shared" si="5"/>
        <v>26838</v>
      </c>
      <c r="C378" s="47"/>
      <c r="D378" s="47">
        <v>26838</v>
      </c>
      <c r="E378" s="47"/>
      <c r="F378" s="47"/>
      <c r="G378" s="47"/>
      <c r="H378" s="49"/>
      <c r="I378" s="49"/>
    </row>
    <row r="379" spans="1:9" ht="30">
      <c r="A379" s="67" t="s">
        <v>443</v>
      </c>
      <c r="B379" s="74">
        <f t="shared" si="5"/>
        <v>57346</v>
      </c>
      <c r="C379" s="47">
        <f>27863+6393</f>
        <v>34256</v>
      </c>
      <c r="D379" s="47">
        <f>21059+2031</f>
        <v>23090</v>
      </c>
      <c r="E379" s="47"/>
      <c r="F379" s="47"/>
      <c r="G379" s="47"/>
      <c r="H379" s="49">
        <v>0</v>
      </c>
      <c r="I379" s="49">
        <v>0</v>
      </c>
    </row>
    <row r="380" spans="1:9">
      <c r="A380" s="67" t="s">
        <v>442</v>
      </c>
      <c r="B380" s="74">
        <f t="shared" si="5"/>
        <v>3358</v>
      </c>
      <c r="C380" s="47">
        <f>147+35+384</f>
        <v>566</v>
      </c>
      <c r="D380" s="47">
        <f>1382+1410</f>
        <v>2792</v>
      </c>
      <c r="E380" s="47"/>
      <c r="F380" s="47"/>
      <c r="G380" s="47"/>
      <c r="H380" s="49">
        <v>0</v>
      </c>
      <c r="I380" s="49">
        <v>0</v>
      </c>
    </row>
    <row r="381" spans="1:9" ht="45">
      <c r="A381" s="70" t="s">
        <v>204</v>
      </c>
      <c r="B381" s="74">
        <f t="shared" si="5"/>
        <v>23784</v>
      </c>
      <c r="C381" s="47">
        <v>0</v>
      </c>
      <c r="D381" s="47">
        <f>20784+80+2920</f>
        <v>23784</v>
      </c>
      <c r="E381" s="47"/>
      <c r="F381" s="47"/>
      <c r="G381" s="47"/>
      <c r="H381" s="49"/>
      <c r="I381" s="49"/>
    </row>
    <row r="382" spans="1:9" ht="60">
      <c r="A382" s="67" t="s">
        <v>174</v>
      </c>
      <c r="B382" s="74">
        <f t="shared" si="5"/>
        <v>55775</v>
      </c>
      <c r="C382" s="47">
        <v>0</v>
      </c>
      <c r="D382" s="47">
        <v>55775</v>
      </c>
      <c r="E382" s="47"/>
      <c r="F382" s="47"/>
      <c r="G382" s="47"/>
      <c r="H382" s="49"/>
      <c r="I382" s="49"/>
    </row>
    <row r="383" spans="1:9">
      <c r="A383" s="66" t="s">
        <v>153</v>
      </c>
      <c r="B383" s="74">
        <f t="shared" si="5"/>
        <v>500</v>
      </c>
      <c r="C383" s="47"/>
      <c r="D383" s="47"/>
      <c r="E383" s="47">
        <v>500</v>
      </c>
      <c r="F383" s="47"/>
      <c r="G383" s="47"/>
      <c r="H383" s="49"/>
      <c r="I383" s="49"/>
    </row>
    <row r="384" spans="1:9">
      <c r="A384" s="66" t="s">
        <v>136</v>
      </c>
      <c r="B384" s="74">
        <f t="shared" si="5"/>
        <v>1400</v>
      </c>
      <c r="C384" s="47"/>
      <c r="D384" s="47"/>
      <c r="E384" s="47">
        <v>1400</v>
      </c>
      <c r="F384" s="47"/>
      <c r="G384" s="47"/>
      <c r="H384" s="49"/>
      <c r="I384" s="49"/>
    </row>
    <row r="385" spans="1:9" ht="30">
      <c r="A385" s="70" t="s">
        <v>154</v>
      </c>
      <c r="B385" s="74">
        <f t="shared" si="5"/>
        <v>150</v>
      </c>
      <c r="C385" s="47"/>
      <c r="D385" s="47"/>
      <c r="E385" s="47">
        <v>150</v>
      </c>
      <c r="F385" s="47"/>
      <c r="G385" s="47"/>
      <c r="H385" s="49"/>
      <c r="I385" s="49"/>
    </row>
    <row r="386" spans="1:9" ht="30">
      <c r="A386" s="66" t="s">
        <v>137</v>
      </c>
      <c r="B386" s="74">
        <f t="shared" si="5"/>
        <v>1320</v>
      </c>
      <c r="C386" s="52"/>
      <c r="D386" s="52"/>
      <c r="E386" s="52">
        <v>1320</v>
      </c>
      <c r="F386" s="52"/>
      <c r="G386" s="52"/>
      <c r="H386" s="53"/>
      <c r="I386" s="53"/>
    </row>
    <row r="387" spans="1:9" ht="30">
      <c r="A387" s="66" t="s">
        <v>138</v>
      </c>
      <c r="B387" s="74">
        <f t="shared" si="5"/>
        <v>1400</v>
      </c>
      <c r="C387" s="47"/>
      <c r="D387" s="47"/>
      <c r="E387" s="47">
        <v>1400</v>
      </c>
      <c r="F387" s="47"/>
      <c r="G387" s="47"/>
      <c r="H387" s="49"/>
      <c r="I387" s="49"/>
    </row>
    <row r="388" spans="1:9">
      <c r="A388" s="123" t="s">
        <v>474</v>
      </c>
      <c r="B388" s="74">
        <f t="shared" si="5"/>
        <v>2061</v>
      </c>
      <c r="C388" s="47"/>
      <c r="D388" s="47">
        <v>2061</v>
      </c>
      <c r="E388" s="47"/>
      <c r="F388" s="47"/>
      <c r="G388" s="47"/>
      <c r="H388" s="49"/>
      <c r="I388" s="49"/>
    </row>
    <row r="389" spans="1:9" ht="63">
      <c r="A389" s="71" t="s">
        <v>211</v>
      </c>
      <c r="B389" s="74">
        <f t="shared" si="5"/>
        <v>10430</v>
      </c>
      <c r="C389" s="47"/>
      <c r="D389" s="47">
        <f>5390+3020+2020</f>
        <v>10430</v>
      </c>
      <c r="E389" s="47"/>
      <c r="F389" s="47"/>
      <c r="G389" s="47"/>
      <c r="H389" s="49"/>
      <c r="I389" s="49"/>
    </row>
    <row r="390" spans="1:9">
      <c r="A390" s="73" t="s">
        <v>76</v>
      </c>
      <c r="B390" s="35">
        <f>SUM(B12:B389)-B132</f>
        <v>34700581</v>
      </c>
      <c r="C390" s="35">
        <f t="shared" ref="C390:I390" si="7">SUM(C12:C389)</f>
        <v>17738874</v>
      </c>
      <c r="D390" s="35">
        <f t="shared" si="7"/>
        <v>7620868</v>
      </c>
      <c r="E390" s="35">
        <f t="shared" si="7"/>
        <v>119542</v>
      </c>
      <c r="F390" s="35">
        <f t="shared" si="7"/>
        <v>16059</v>
      </c>
      <c r="G390" s="35">
        <f t="shared" si="7"/>
        <v>7596723</v>
      </c>
      <c r="H390" s="35">
        <f t="shared" si="7"/>
        <v>1057023</v>
      </c>
      <c r="I390" s="35">
        <f t="shared" si="7"/>
        <v>827492</v>
      </c>
    </row>
    <row r="391" spans="1:9">
      <c r="A391" s="38"/>
      <c r="B391" s="38"/>
      <c r="C391" s="39"/>
      <c r="D391" s="39"/>
      <c r="E391" s="39"/>
      <c r="F391" s="39"/>
      <c r="G391" s="39"/>
      <c r="H391" s="39"/>
      <c r="I391" s="39"/>
    </row>
    <row r="392" spans="1:9">
      <c r="A392" s="38"/>
      <c r="B392" s="38"/>
      <c r="C392" s="39"/>
      <c r="D392" s="39"/>
      <c r="E392" s="39"/>
      <c r="F392" s="39"/>
      <c r="G392" s="39"/>
      <c r="H392" s="39"/>
      <c r="I392" s="39"/>
    </row>
    <row r="393" spans="1:9">
      <c r="A393" s="38"/>
      <c r="B393" s="38"/>
      <c r="C393" s="39"/>
      <c r="D393" s="39"/>
      <c r="E393" s="39"/>
      <c r="F393" s="39"/>
      <c r="G393" s="39"/>
      <c r="H393" s="39"/>
      <c r="I393" s="39"/>
    </row>
    <row r="394" spans="1:9">
      <c r="A394" s="38"/>
      <c r="B394" s="38"/>
      <c r="C394" s="39"/>
      <c r="D394" s="39"/>
      <c r="E394" s="39"/>
      <c r="F394" s="39"/>
      <c r="G394" s="39"/>
      <c r="H394" s="39"/>
      <c r="I394" s="39"/>
    </row>
    <row r="395" spans="1:9">
      <c r="A395" s="38"/>
      <c r="B395" s="38"/>
      <c r="C395" s="39"/>
      <c r="D395" s="39"/>
      <c r="E395" s="39"/>
      <c r="F395" s="39"/>
      <c r="G395" s="39"/>
      <c r="H395" s="39"/>
      <c r="I395" s="39"/>
    </row>
    <row r="397" spans="1:9" ht="18.75">
      <c r="A397" s="42"/>
      <c r="B397" s="42"/>
      <c r="C397" s="43" t="s">
        <v>497</v>
      </c>
      <c r="D397" s="43"/>
      <c r="E397" s="43"/>
      <c r="F397" s="43"/>
      <c r="G397" s="43"/>
      <c r="H397" s="43"/>
      <c r="I397" s="42"/>
    </row>
    <row r="399" spans="1:9">
      <c r="C399" s="9"/>
      <c r="D399" s="9"/>
      <c r="E399" s="9"/>
      <c r="F399" s="9"/>
      <c r="G399" s="9"/>
      <c r="H399" s="9"/>
      <c r="I399" s="9"/>
    </row>
    <row r="400" spans="1:9">
      <c r="I400" s="9"/>
    </row>
  </sheetData>
  <mergeCells count="5">
    <mergeCell ref="A7:I7"/>
    <mergeCell ref="C9:I9"/>
    <mergeCell ref="A9:A11"/>
    <mergeCell ref="B9:B11"/>
    <mergeCell ref="E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3.pielikums</vt:lpstr>
      <vt:lpstr>4.pielikums</vt:lpstr>
      <vt:lpstr>'3.pielikums'!Drukas_apgabals</vt:lpstr>
      <vt:lpstr>'4.pielikums'!Drukas_apgabals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2021-07-30T06:17:51Z</cp:lastPrinted>
  <dcterms:created xsi:type="dcterms:W3CDTF">2014-01-31T18:56:56Z</dcterms:created>
  <dcterms:modified xsi:type="dcterms:W3CDTF">2021-07-30T06:17:55Z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