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Print_Area" localSheetId="3">'4.pielikums'!$A$1:$I$318</definedName>
  </definedNames>
  <calcPr calcId="191029"/>
</workbook>
</file>

<file path=xl/calcChain.xml><?xml version="1.0" encoding="utf-8"?>
<calcChain xmlns="http://schemas.openxmlformats.org/spreadsheetml/2006/main">
  <c r="C67" i="4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Sinica</author>
  </authors>
  <commentList>
    <comment ref="B272" authorId="0" shapeId="0" xr:uid="{00000000-0006-0000-0300-000001000000}">
      <text>
        <r>
          <rPr>
            <b/>
            <sz val="9"/>
            <rFont val="Tahoma"/>
            <family val="2"/>
            <charset val="186"/>
          </rPr>
          <t>Olga Sinica:</t>
        </r>
        <r>
          <rPr>
            <sz val="9"/>
            <rFont val="Tahoma"/>
            <family val="2"/>
            <charset val="186"/>
          </rPr>
          <t xml:space="preserve">
pašvaldības finansējums</t>
        </r>
      </text>
    </comment>
  </commentList>
</comments>
</file>

<file path=xl/sharedStrings.xml><?xml version="1.0" encoding="utf-8"?>
<sst xmlns="http://schemas.openxmlformats.org/spreadsheetml/2006/main" count="1003" uniqueCount="669">
  <si>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</si>
  <si>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</si>
  <si>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</si>
  <si>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</si>
  <si>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</si>
  <si>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</si>
  <si>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</si>
  <si>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</si>
  <si>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</si>
  <si>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</si>
  <si>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</si>
  <si>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</si>
  <si>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</si>
  <si>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</si>
  <si>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</si>
  <si>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</si>
  <si>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</si>
  <si>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</si>
  <si>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</si>
  <si>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</si>
  <si>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</si>
  <si>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</si>
  <si>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</si>
  <si>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</si>
  <si>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</si>
  <si>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</si>
  <si>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</si>
  <si>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</si>
  <si>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</si>
  <si>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</si>
  <si>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</si>
  <si>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</si>
  <si>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</si>
  <si>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</si>
  <si>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</si>
  <si>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</si>
  <si>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</si>
  <si>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</si>
  <si>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</si>
  <si>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</si>
  <si>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</si>
  <si>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</si>
  <si>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</si>
  <si>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</si>
  <si>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</si>
  <si>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</si>
  <si>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</si>
  <si>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</si>
  <si>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</si>
  <si>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</si>
  <si>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</si>
  <si>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</si>
  <si>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</si>
  <si>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</si>
  <si>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</si>
  <si>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</si>
  <si>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</si>
  <si>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</si>
  <si>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</si>
  <si>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</si>
  <si>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</si>
  <si>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</si>
  <si>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</si>
  <si>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</si>
  <si>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</si>
  <si>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</si>
  <si>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</si>
  <si>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</si>
  <si>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</si>
  <si>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</si>
  <si>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</si>
  <si>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</si>
  <si>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</si>
  <si>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</si>
  <si>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</si>
  <si>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</si>
  <si>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</si>
  <si>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</si>
  <si>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</si>
  <si>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</si>
  <si>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LV-LT pārrobežu sadarbības projekts "Amatu prasmes tūrisma telpā"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</si>
  <si>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</si>
  <si>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</si>
  <si>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</si>
  <si>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</si>
  <si>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</si>
  <si>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</si>
  <si>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</si>
  <si>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</si>
  <si>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</si>
  <si>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</si>
  <si>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</si>
  <si>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</si>
  <si>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</si>
  <si>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</si>
  <si>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</si>
  <si>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</si>
  <si>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</si>
  <si>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</si>
  <si>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</si>
  <si>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</si>
  <si>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</si>
  <si>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</si>
  <si>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</si>
  <si>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</si>
  <si>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</si>
  <si>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</si>
  <si>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</si>
  <si>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</si>
  <si>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</si>
  <si>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</si>
  <si>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</si>
  <si>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</si>
  <si>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</si>
  <si>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</si>
  <si>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</si>
  <si>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</si>
  <si>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</si>
  <si>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Žīguru pārvaldes pašvaldības  dzīvokļu uzturēšana</t>
  </si>
  <si>
    <t>Viļakas pilsētas labiekārtošana</t>
  </si>
  <si>
    <t>Vecumu pārvaldes pašvaldības dzīvokļu uzturēšana</t>
  </si>
  <si>
    <t>Rugāju sociālās aprūpes centrs</t>
  </si>
  <si>
    <t>Viļakas sociālās aprūpes centrs</t>
  </si>
  <si>
    <t>Šķilbēnu sociālās aprūpes māja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</si>
  <si>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</si>
  <si>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</si>
  <si>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</si>
  <si>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</si>
  <si>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</si>
  <si>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</si>
  <si>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</si>
  <si>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</si>
  <si>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</si>
  <si>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</si>
  <si>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</si>
  <si>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</si>
  <si>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</si>
  <si>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</si>
  <si>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</si>
  <si>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</si>
  <si>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</si>
  <si>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</si>
  <si>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</si>
  <si>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Projekts "Dzīvo aktīvs Baltinavā"</t>
  </si>
  <si>
    <t>Kupravas feldšeru punkts</t>
  </si>
  <si>
    <t>Baltinavas muzejs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</si>
  <si>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</si>
  <si>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</si>
  <si>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</si>
  <si>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</si>
  <si>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</si>
  <si>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</si>
  <si>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</si>
  <si>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</si>
  <si>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</si>
  <si>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</si>
  <si>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</si>
  <si>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</si>
  <si>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</si>
  <si>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</si>
  <si>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Viļakas Valsts ģimnāzija</t>
  </si>
  <si>
    <t>Veļas mazgāšanas pakalpojumi (Rugāji)</t>
  </si>
  <si>
    <t>Baltinavas kultūras pasākumi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</si>
  <si>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</si>
  <si>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</si>
  <si>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</si>
  <si>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</si>
  <si>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Degradēto teritoriju revitalizācija Austrumu pierobežā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</si>
  <si>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</si>
  <si>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</si>
  <si>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</si>
  <si>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</si>
  <si>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</si>
  <si>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</si>
  <si>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</si>
  <si>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</si>
  <si>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</si>
  <si>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</si>
  <si>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</si>
  <si>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</si>
  <si>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</si>
  <si>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</si>
  <si>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</si>
  <si>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</si>
  <si>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</si>
  <si>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</si>
  <si>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</si>
  <si>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</si>
  <si>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</si>
  <si>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</si>
  <si>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</si>
  <si>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</si>
  <si>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</si>
  <si>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</si>
  <si>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</si>
  <si>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</si>
  <si>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</si>
  <si>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</si>
  <si>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</si>
  <si>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</si>
  <si>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</si>
  <si>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</si>
  <si>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</si>
  <si>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</si>
  <si>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</si>
  <si>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</si>
  <si>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</si>
  <si>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Projekts "Veselības veicināšanas un slimību profilakses pasākumi Viļakā un apkaimē"</t>
  </si>
  <si>
    <t>Skolēnu pārvadājumi Tilžas pagastā</t>
  </si>
  <si>
    <t xml:space="preserve">Nacionālo partizānu mītnes vietnes (pilsētiņas) Stompaku purvā atjaunošana 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</si>
  <si>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</si>
  <si>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</si>
  <si>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</si>
  <si>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</si>
  <si>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</si>
  <si>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</si>
  <si>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</si>
  <si>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</si>
  <si>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</si>
  <si>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</si>
  <si>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</si>
  <si>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</si>
  <si>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</si>
  <si>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</si>
  <si>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</si>
  <si>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</si>
  <si>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</si>
  <si>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</si>
  <si>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</si>
  <si>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</si>
  <si>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</si>
  <si>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</si>
  <si>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</si>
  <si>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Balvu novada pašvaldības 2023.gada  pamatbudžeta izdevumi atbilstoši ekonomiskajām kategorijām (EUR)</t>
  </si>
  <si>
    <t>t.sk. labiekārtošana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</si>
  <si>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</si>
  <si>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</si>
  <si>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</si>
  <si>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</si>
  <si>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</si>
  <si>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"Par Balvu novada pašvaldības 2023.gada budžetu"</t>
  </si>
  <si>
    <t>Amatierkolektīvu tautu tērpu iegāde</t>
  </si>
  <si>
    <t>Erasmus + projekts Bērzpils pamatskola</t>
  </si>
  <si>
    <t>Es-Tu-Mēs, well-being Balvu novadā</t>
  </si>
  <si>
    <t>ERAF projekts Balvu mākslas skolas ēkas energoefektivitātes paaugstināšana</t>
  </si>
  <si>
    <t>Projekts "Dzīvo vesels"-veselīga dzīvesveida un  profilakses veicināšanas pasākumi Rugāju un Lazdukalna pagastu iedzīvotājiem</t>
  </si>
  <si>
    <t>Vides pieejamības veicināšana Balvu novada Nodarbinātības valsts aģentūrā</t>
  </si>
  <si>
    <t>Rekavas vidusskolas darbnīcu ēkas energoefektivitātes paaugstināšana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</si>
  <si>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</si>
  <si>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</si>
  <si>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</si>
  <si>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</si>
  <si>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</si>
  <si>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</si>
  <si>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AS Balvu Enerģija akciju iegāde</t>
  </si>
  <si>
    <t>Viduču pamatskola Žīguros</t>
  </si>
  <si>
    <t>ERASMUS+ projekts Balvu profesionālā un vispārizglītojošā vidusskola (Pandemi Art)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</si>
  <si>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</si>
  <si>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</si>
  <si>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</si>
  <si>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</si>
  <si>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</si>
  <si>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</si>
  <si>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</si>
  <si>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</si>
  <si>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</si>
  <si>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</si>
  <si>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</si>
  <si>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</si>
  <si>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</si>
  <si>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</si>
  <si>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</si>
  <si>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</si>
  <si>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</si>
  <si>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Algoti pagaidu sabiedriskie darbi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</si>
  <si>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</si>
  <si>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</si>
  <si>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</si>
  <si>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</si>
  <si>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</si>
  <si>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</si>
  <si>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</si>
  <si>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</si>
  <si>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</si>
  <si>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</si>
  <si>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</si>
  <si>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</si>
  <si>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</si>
  <si>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</si>
  <si>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</si>
  <si>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</si>
  <si>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</si>
  <si>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</si>
  <si>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</si>
  <si>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</si>
  <si>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</si>
  <si>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</si>
  <si>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</si>
  <si>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</si>
  <si>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Sporta pasākumi novadā</t>
  </si>
  <si>
    <t>Kultūra</t>
  </si>
  <si>
    <t>Bibliotēkas</t>
  </si>
  <si>
    <t>Muzeji</t>
  </si>
  <si>
    <t>Balvu novada muzejs</t>
  </si>
  <si>
    <t>Kultūras nami</t>
  </si>
  <si>
    <t>Nemateriālās kultūras mantojuma centrs "Upīte"</t>
  </si>
  <si>
    <t>Balvu kultūras un atpūtas centra pasākumi</t>
  </si>
  <si>
    <t>08.600</t>
  </si>
  <si>
    <t>Pārējā citur neklasificētā kultūra</t>
  </si>
  <si>
    <t>Nacionālo partizānu mītnes vietnes (pilsētiņas) Stompaku purvā atjaunošana</t>
  </si>
  <si>
    <t>09.000</t>
  </si>
  <si>
    <t>Izglītība</t>
  </si>
  <si>
    <t>Pirmsskolas izglītība</t>
  </si>
  <si>
    <t>Pamatizglītība, vispārējā un profesionālā izglītība</t>
  </si>
  <si>
    <t>Pamatskola</t>
  </si>
  <si>
    <t>Bērzpils pamatskolas Krišjāņu pirmsskolas grupa</t>
  </si>
  <si>
    <t>Vidusskolas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</si>
  <si>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</si>
  <si>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</si>
  <si>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</si>
  <si>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</si>
  <si>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</si>
  <si>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</si>
  <si>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</si>
  <si>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</si>
  <si>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</si>
  <si>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</si>
  <si>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</si>
  <si>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Balvu novada pašvaldības pamatbudžeta izdevumi 2023.gadam (EUR)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</si>
  <si>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</si>
  <si>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</si>
  <si>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</si>
  <si>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</si>
  <si>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</si>
  <si>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</si>
  <si>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</si>
  <si>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</si>
  <si>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</si>
  <si>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</si>
  <si>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Balvu novada pašvaldības pamatbudžeta ieņēmumi 2023.gadam (EUR)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</si>
  <si>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</si>
  <si>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</si>
  <si>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</si>
  <si>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</si>
  <si>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</si>
  <si>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</si>
  <si>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</si>
  <si>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</si>
  <si>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</si>
  <si>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</si>
  <si>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</si>
  <si>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</si>
  <si>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</si>
  <si>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</si>
  <si>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</si>
  <si>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</si>
  <si>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</si>
  <si>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</si>
  <si>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</si>
  <si>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</si>
  <si>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</si>
  <si>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</si>
  <si>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</si>
  <si>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</si>
  <si>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</si>
  <si>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</si>
  <si>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</si>
  <si>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</si>
  <si>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</si>
  <si>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</si>
  <si>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</si>
  <si>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</si>
  <si>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</si>
  <si>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</si>
  <si>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</si>
  <si>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</si>
  <si>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</si>
  <si>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</si>
  <si>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</si>
  <si>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</si>
  <si>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</si>
  <si>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</si>
  <si>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</si>
  <si>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</si>
  <si>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</si>
  <si>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</si>
  <si>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</si>
  <si>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</si>
  <si>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</si>
  <si>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</si>
  <si>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</si>
  <si>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</si>
  <si>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</si>
  <si>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</si>
  <si>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</si>
  <si>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</si>
  <si>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</si>
  <si>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</si>
  <si>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</si>
  <si>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</si>
  <si>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</si>
  <si>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</si>
  <si>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</si>
  <si>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</si>
  <si>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</si>
  <si>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</si>
  <si>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</si>
  <si>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</si>
  <si>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9.5.2.1.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</si>
  <si>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</si>
  <si>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</si>
  <si>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</si>
  <si>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</si>
  <si>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</si>
  <si>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</si>
  <si>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</si>
  <si>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</si>
  <si>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</si>
  <si>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</si>
  <si>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</si>
  <si>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</si>
  <si>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</si>
  <si>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</si>
  <si>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</si>
  <si>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</si>
  <si>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</si>
  <si>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</si>
  <si>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</si>
  <si>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</si>
  <si>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</si>
  <si>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</si>
  <si>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</si>
  <si>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</si>
  <si>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</si>
  <si>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</si>
  <si>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</si>
  <si>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</si>
  <si>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</si>
  <si>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</si>
  <si>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</si>
  <si>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</si>
  <si>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</si>
  <si>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</si>
  <si>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</si>
  <si>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</si>
  <si>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</si>
  <si>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</si>
  <si>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</si>
  <si>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</si>
  <si>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</si>
  <si>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</si>
  <si>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</si>
  <si>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18.6.2.0.11</t>
  </si>
  <si>
    <t>18.6.2.0.13</t>
  </si>
  <si>
    <t>MD māksliniecisko kolektīvu vadītāju darba samaksai un valsts sociālās apdrošināšanas obligātajām iemaksām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</si>
  <si>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</si>
  <si>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</si>
  <si>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</si>
  <si>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</si>
  <si>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</si>
  <si>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</si>
  <si>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18.6.2.0.20</t>
  </si>
  <si>
    <t>LM finansējums asistenta pakalpojumiem personām ar invaliditāti</t>
  </si>
  <si>
    <t>18.6.2.0.27</t>
  </si>
  <si>
    <t>18.6.2.0.30</t>
  </si>
  <si>
    <t>18.6.2.0.47</t>
  </si>
  <si>
    <t>18.6.2.0.54</t>
  </si>
  <si>
    <t>Valsts dotācija mājokļa pabalstam</t>
  </si>
  <si>
    <t>18.6.2.0.52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</si>
  <si>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</si>
  <si>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</si>
  <si>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</si>
  <si>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</si>
  <si>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</si>
  <si>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</si>
  <si>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</si>
  <si>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</si>
  <si>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</si>
  <si>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21.3.7.0.</t>
  </si>
  <si>
    <t>Ieņēmumi par dokumentu izsniegšanu un kancelejas pakalpojumiem</t>
  </si>
  <si>
    <t>21.3.8.0.</t>
  </si>
  <si>
    <t>Ieņēmumi par nomu un īri</t>
  </si>
  <si>
    <t>21.3.8.1.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</si>
  <si>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</si>
  <si>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</si>
  <si>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</si>
  <si>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</si>
  <si>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</si>
  <si>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</si>
  <si>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</si>
  <si>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</si>
  <si>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</si>
  <si>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</si>
  <si>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</si>
  <si>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</si>
  <si>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21.3.9.3.</t>
  </si>
  <si>
    <t>Ieņēmumi par biļešu realizāciju</t>
  </si>
  <si>
    <t>21.3.9.4.</t>
  </si>
  <si>
    <t>Ieņēmumi par dzīvokļu un komunālajiem pakalpojumiem</t>
  </si>
  <si>
    <t>21.3.9.4.2.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</si>
  <si>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</si>
  <si>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</si>
  <si>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</si>
  <si>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</si>
  <si>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</si>
  <si>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</si>
  <si>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</si>
  <si>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</si>
  <si>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</si>
  <si>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</si>
  <si>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21.3.9.9.7.</t>
  </si>
  <si>
    <t>Ieņēmumi no darbinieku ēdināšanas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</si>
  <si>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</si>
  <si>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</si>
  <si>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</si>
  <si>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</si>
  <si>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</si>
  <si>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</si>
  <si>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</si>
  <si>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</si>
  <si>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</si>
  <si>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</si>
  <si>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</si>
  <si>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</si>
  <si>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</si>
  <si>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</si>
  <si>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</si>
  <si>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</si>
  <si>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</si>
  <si>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</si>
  <si>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</si>
  <si>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</si>
  <si>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</si>
  <si>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</si>
  <si>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</si>
  <si>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</si>
  <si>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</si>
  <si>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</si>
  <si>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</si>
  <si>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</si>
  <si>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</si>
  <si>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</si>
  <si>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</si>
  <si>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</si>
  <si>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</si>
  <si>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</si>
  <si>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</si>
  <si>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</si>
  <si>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</si>
  <si>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</si>
  <si>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</si>
  <si>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</si>
  <si>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</si>
  <si>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</si>
  <si>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</si>
  <si>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</si>
  <si>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</si>
  <si>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</si>
  <si>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</si>
  <si>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</si>
  <si>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</si>
  <si>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</si>
  <si>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</si>
  <si>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</si>
  <si>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</si>
  <si>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</si>
  <si>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</si>
  <si>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</si>
  <si>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</si>
  <si>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</si>
  <si>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</si>
  <si>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</si>
  <si>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</si>
  <si>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</si>
  <si>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</si>
  <si>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</si>
  <si>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</si>
  <si>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</si>
  <si>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</si>
  <si>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</si>
  <si>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</si>
  <si>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</si>
  <si>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</si>
  <si>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</si>
  <si>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</si>
  <si>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</si>
  <si>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</si>
  <si>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</si>
  <si>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Balvu novada pašvaldības pamatbudžets 2023.gadam ( EUR)</t>
  </si>
  <si>
    <t>Balvu muižas apbūves tematiskā plānojuma izstrāde</t>
  </si>
  <si>
    <t>F40020010</t>
  </si>
  <si>
    <t>Atlikums             uz gada sākumu</t>
  </si>
  <si>
    <t>Ģimenei draudzīgākā pašvaldība 2022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</si>
  <si>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</si>
  <si>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</si>
  <si>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</si>
  <si>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Projekts ERASMUS+ akreditācija
Nr. 2021-1-LV01-KA121-SCH-000006935 2 Rugāju vidusskola</t>
  </si>
  <si>
    <t>Atbalsts mājsaimniecībām apkures izdevumu kompensēšanai</t>
  </si>
  <si>
    <t>Valsts dotācija Ukrainas civiliedzīvotāju atbalstam</t>
  </si>
  <si>
    <t>Atbalsts Ukrainas civiliedzīvotājiem un izmitināšanas iespējām</t>
  </si>
  <si>
    <t>Dotācija asistentu pakalpojumu nodrošināšanai</t>
  </si>
  <si>
    <t>Ieņēmumi par nedzīvojamā nekustamā īpašuma nomu</t>
  </si>
  <si>
    <t>PAŠVALDĪBU BUDŽETU TRANSFERTI</t>
  </si>
  <si>
    <t>19.0.0.0.</t>
  </si>
  <si>
    <t>19.2.0.0.01.</t>
  </si>
  <si>
    <t>Pašvaldību budžetu transferti</t>
  </si>
  <si>
    <t>19.0.0.0</t>
  </si>
  <si>
    <t>Pašvaldību saņemtie transferti no citām pašvaldībām</t>
  </si>
  <si>
    <t>19.2.0.0.</t>
  </si>
  <si>
    <t>Apstiprināts 2023. gadam (EUR)</t>
  </si>
  <si>
    <t>Apstiprināts 2023.gadam (EUR)</t>
  </si>
  <si>
    <t>Vectilžas komunālā saimniecība - ūdens</t>
  </si>
  <si>
    <t>Vīksnas pagasta komunālā saimniecība-ūdens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</si>
  <si>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</si>
  <si>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</si>
  <si>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</si>
  <si>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</si>
  <si>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</si>
  <si>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</si>
  <si>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</si>
  <si>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</si>
  <si>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</si>
  <si>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Vidzemes ielas pārbūve</t>
  </si>
  <si>
    <t>Bērzkalnes komunālā saimniecība -notekūdeņu apsaimniekošana</t>
  </si>
  <si>
    <t>Autoceļu (ielu) uzturēšanas līdzekļu rezerves fonds</t>
  </si>
  <si>
    <t>Balvu pilsētas stadiona rekonstrukcija</t>
  </si>
  <si>
    <t>Projekts "Strengthening the entrepreneurial environment of the Balvi municipality"</t>
  </si>
  <si>
    <t>Baltinavas pagasta teritorijas apsaimniekošana</t>
  </si>
  <si>
    <t>Skolēnu pārvadāšana Susāju pārvalde</t>
  </si>
  <si>
    <t>Balvu novada domes</t>
  </si>
  <si>
    <t>Pašvaldības nodeva par būvatļaujas izdošanu vai būvniecības ieceres akceptu</t>
  </si>
  <si>
    <t>Rugāju Tautas nams</t>
  </si>
  <si>
    <t>Lazdukalna Saieta nams</t>
  </si>
  <si>
    <t>Pašvaldības infrastruktūras attīstība, uzlabojot pakalpojumu efektivitāti "Upītes Kultūrtelpā"</t>
  </si>
  <si>
    <t>Tilžas pamatskolas pirmsskolas izglītības grupa Tilžā</t>
  </si>
  <si>
    <t>Erasmus projekts "Bilimi T @kipteyiz" 2020-1-TR01-KA229-094355_2</t>
  </si>
  <si>
    <t>ERASMUS+ "My e story" projekts Balvu profesionālā un             vispārizglītojošā vidusskola 2020-1-ES01-KA229- 078654_2</t>
  </si>
  <si>
    <t>ERASMUS+ "Health For Body" projekts Balvu profesionālā un    vispārizglītojošā vidusskola 2020-1-BG01-KA229- 079124_4</t>
  </si>
  <si>
    <t>ERASMUS+ "Health For Body" projekts Balvu profesionālā    un vispārizglītojošā vidusskola 2020-1-BG01-KA229- 079124_4</t>
  </si>
  <si>
    <t>ERASMUS+ "My e story" projekts Balvu profesionālā un          vispārizglītojošā vidusskola 2020-1-ES01-KA229- 078654_2</t>
  </si>
  <si>
    <t>Žīguru Kultūras nams</t>
  </si>
  <si>
    <t>Viļakas Kultūras nams</t>
  </si>
  <si>
    <t>Tilžas Kultūras un vēstures nams</t>
  </si>
  <si>
    <t>Kubulu Kultūras nams</t>
  </si>
  <si>
    <t>Baltinavas Kultūras nams</t>
  </si>
  <si>
    <t xml:space="preserve">    Domes priekšsēdētājs                                                                  S.Maksimovs</t>
  </si>
  <si>
    <t>Latvijas neredzīgo biedrība</t>
  </si>
  <si>
    <t>Kubulu pagasta ielu pārbūve</t>
  </si>
  <si>
    <t>Dotācijas nevalstiskajām organizācijām, biedrībām projektu līdzfinansējumam, priekšfinansējumam</t>
  </si>
  <si>
    <t>Ekspozīcijas "Viļakas apkārtne vēstures līkločos" 1. posma realizācija. Viļakas muzejs.</t>
  </si>
  <si>
    <t>Ukrainas civiliedzīvotāju mērķdotācija pabalstu izmaksām</t>
  </si>
  <si>
    <t>Valsts atbalsts pašvaldībām sociālo darbinieku atlīdzības palielināšanai</t>
  </si>
  <si>
    <t>Nekustamā īpašuma nodoklis par mājokļiem-iepriekšējo gadu parādi</t>
  </si>
  <si>
    <t>Pašvaldības nodeva par reklāmas, afišu un sludinājumu izvietošanu publiskajās vietās</t>
  </si>
  <si>
    <t>Pašvaldību saņemtie transferti no valsts budžeta daļēji atvasinātām publiskām personām un no budžeta nefinansētām iestādēm</t>
  </si>
  <si>
    <t>Mērķdotācijas pašvaldības izglītības iestāžu piecgadīgo un sešgadīgo bērnu apmācības pedagogu darba samaksai un valsts soc.apdrošināšanas obligātajām iemaksām</t>
  </si>
  <si>
    <t>Valsts dotācija projektam "Pašvaldības infrastruktūras attīstība, uzlabojot pakalpojumu efektivitāti "Upītes Kultūrtelpā""</t>
  </si>
  <si>
    <t>Dotācija no līdzekļiem neparedzētiem gadījumiem atskurbtuves uzturēšanai</t>
  </si>
  <si>
    <t>Ieņēmumi izglītības funkciju nodrošināšanai</t>
  </si>
  <si>
    <t>Ieņēmumi par komunāliem pakalpojumiem</t>
  </si>
  <si>
    <t>Viļakas pilsētas komunālā saimniecība-notekūdeņu apsaimniekošana</t>
  </si>
  <si>
    <t>Vīksnas komunālā saimniecība-notekūdeņu apsaimniekošana</t>
  </si>
  <si>
    <t>Balvu profesionālā un vispārizglītojošā vidusskola</t>
  </si>
  <si>
    <t>Balvu profesionālās un vispārizglītojošās vidusskolas tālākizglītības centrs</t>
  </si>
  <si>
    <t>7.Starptautiskais mākslas plenērs Valdis Bušs 2023</t>
  </si>
  <si>
    <t>Projekts "Lasītāji satiek rakstniekus 2023" Balvu Centrālā bibliotēka</t>
  </si>
  <si>
    <t>Projekts "Akordeona iegāde Viļakas mūzikas un mākslas skolai"</t>
  </si>
  <si>
    <t>XXVII Vispārējie latviešu Dziesmu un XVII Deju svētki</t>
  </si>
  <si>
    <t>2023.gada 23.marta saistošajiem noteikumiem Nr.4/2023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</si>
</sst>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i/>
      <sz val="11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 val="single"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9" fillId="0" borderId="0" xfId="0" applyFont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/>
    <xf numFmtId="3" fontId="8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0" fontId="10" fillId="0" borderId="1" xfId="0" applyFont="1" applyBorder="1"/>
    <xf numFmtId="3" fontId="8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3" fontId="10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43" fontId="8" fillId="0" borderId="1" xfId="18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3" fontId="16" fillId="0" borderId="3" xfId="0" applyNumberFormat="1" applyFont="1" applyBorder="1" applyAlignment="1">
      <alignment wrapText="1"/>
    </xf>
    <xf numFmtId="3" fontId="16" fillId="0" borderId="4" xfId="0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6" fillId="0" borderId="5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/>
    </xf>
    <xf numFmtId="3" fontId="5" fillId="0" borderId="1" xfId="0" applyNumberFormat="1" applyFont="1" applyBorder="1"/>
    <xf numFmtId="3" fontId="6" fillId="0" borderId="6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0" fontId="17" fillId="0" borderId="0" xfId="0" applyFont="1"/>
    <xf numFmtId="1" fontId="6" fillId="0" borderId="0" xfId="0" applyNumberFormat="1" applyFo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3" fontId="7" fillId="0" borderId="0" xfId="0" applyNumberFormat="1" applyFo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3" fontId="20" fillId="0" borderId="1" xfId="0" applyNumberFormat="1" applyFont="1" applyBorder="1" applyAlignment="1">
      <alignment horizontal="right" wrapText="1"/>
    </xf>
    <xf numFmtId="3" fontId="20" fillId="0" borderId="1" xfId="0" applyNumberFormat="1" applyFont="1" applyBorder="1"/>
    <xf numFmtId="3" fontId="21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1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49EBD0-472E-4521-BB73-A83E93CCABF4}">
  <dimension ref="A1:K70"/>
  <sheetViews>
    <sheetView workbookViewId="0" topLeftCell="A67">
      <selection pane="topLeft" activeCell="E2" sqref="E2"/>
    </sheetView>
  </sheetViews>
  <sheetFormatPr defaultColWidth="9.144285714285713" defaultRowHeight="15.75"/>
  <cols>
    <col min="1" max="1" width="65.71428571428571" style="5" customWidth="1"/>
    <col min="2" max="3" width="13.857142857142858" style="5" customWidth="1"/>
    <col min="4" max="16384" width="9.142857142857142" style="5"/>
  </cols>
  <sheetData>
    <row r="1" spans="5:8" ht="15.75">
      <c r="E1" s="6"/>
      <c r="F1" s="6"/>
      <c r="G1" s="6"/>
      <c r="H1" s="6"/>
    </row>
    <row r="2" spans="1:8" ht="15.75">
      <c r="A2" s="6"/>
      <c r="C2" s="7" t="s">
        <v>518</v>
      </c>
      <c r="E2" s="6"/>
      <c r="F2" s="6"/>
      <c r="G2" s="6"/>
      <c r="H2" s="6"/>
    </row>
    <row r="3" spans="1:8" ht="15.75">
      <c r="A3" s="6"/>
      <c r="C3" s="8" t="s">
        <v>629</v>
      </c>
      <c r="E3" s="6"/>
      <c r="F3" s="6"/>
      <c r="G3" s="6"/>
      <c r="H3" s="6"/>
    </row>
    <row r="4" spans="1:11" ht="15.75">
      <c r="A4" s="6"/>
      <c r="C4" s="8" t="s">
        <v>668</v>
      </c>
      <c r="D4" s="6"/>
      <c r="E4" s="6"/>
      <c r="F4" s="6"/>
      <c r="G4" s="6"/>
      <c r="H4" s="6"/>
      <c r="I4" s="6"/>
      <c r="J4" s="6"/>
      <c r="K4" s="6"/>
    </row>
    <row r="5" spans="1:8" ht="15.75">
      <c r="A5" s="6"/>
      <c r="B5" s="8"/>
      <c r="C5" s="8" t="s">
        <v>240</v>
      </c>
      <c r="D5" s="6"/>
      <c r="E5" s="6"/>
      <c r="F5" s="6"/>
      <c r="G5" s="6"/>
      <c r="H5" s="6"/>
    </row>
    <row r="6" s="6" customFormat="1" ht="14.25" customHeight="1"/>
    <row r="7" s="6" customFormat="1" ht="15" customHeight="1"/>
    <row r="8" spans="1:3" s="6" customFormat="1" ht="15" customHeight="1">
      <c r="A8" s="108" t="s">
        <v>588</v>
      </c>
      <c r="B8" s="108"/>
      <c r="C8" s="108"/>
    </row>
    <row r="9" s="6" customFormat="1" ht="15" customHeight="1"/>
    <row r="10" spans="1:3" s="6" customFormat="1" ht="52.5" customHeight="1">
      <c r="A10" s="9" t="s">
        <v>519</v>
      </c>
      <c r="B10" s="9" t="s">
        <v>520</v>
      </c>
      <c r="C10" s="9" t="s">
        <v>609</v>
      </c>
    </row>
    <row r="11" spans="1:3" s="6" customFormat="1" ht="30" customHeight="1">
      <c r="A11" s="10" t="s">
        <v>521</v>
      </c>
      <c r="B11" s="11"/>
      <c r="C11" s="12">
        <f>C12+C14+C16+C20+C23+C25+C27+C30+C32+C34+C36+C18</f>
        <v>32075342</v>
      </c>
    </row>
    <row r="12" spans="1:3" s="13" customFormat="1" ht="15" customHeight="1">
      <c r="A12" s="11" t="s">
        <v>350</v>
      </c>
      <c r="B12" s="11" t="s">
        <v>349</v>
      </c>
      <c r="C12" s="12">
        <f>C13</f>
        <v>9705356</v>
      </c>
    </row>
    <row r="13" spans="1:3" s="6" customFormat="1" ht="15" customHeight="1">
      <c r="A13" s="14" t="s">
        <v>522</v>
      </c>
      <c r="B13" s="15" t="s">
        <v>523</v>
      </c>
      <c r="C13" s="16">
        <f>'2.pielikums'!F16</f>
        <v>9705356</v>
      </c>
    </row>
    <row r="14" spans="1:3" s="6" customFormat="1" ht="15" customHeight="1">
      <c r="A14" s="17" t="s">
        <v>355</v>
      </c>
      <c r="B14" s="17" t="s">
        <v>354</v>
      </c>
      <c r="C14" s="18">
        <f>C15</f>
        <v>1245954</v>
      </c>
    </row>
    <row r="15" spans="1:3" s="6" customFormat="1" ht="15" customHeight="1">
      <c r="A15" s="19" t="s">
        <v>524</v>
      </c>
      <c r="B15" s="20" t="s">
        <v>525</v>
      </c>
      <c r="C15" s="21">
        <f>'2.pielikums'!F19</f>
        <v>1245954</v>
      </c>
    </row>
    <row r="16" spans="1:3" s="6" customFormat="1" ht="15" customHeight="1">
      <c r="A16" s="17" t="s">
        <v>526</v>
      </c>
      <c r="B16" s="17" t="s">
        <v>376</v>
      </c>
      <c r="C16" s="18">
        <f>C17</f>
        <v>46000</v>
      </c>
    </row>
    <row r="17" spans="1:3" s="6" customFormat="1" ht="15" customHeight="1">
      <c r="A17" s="19" t="s">
        <v>527</v>
      </c>
      <c r="B17" s="20" t="s">
        <v>528</v>
      </c>
      <c r="C17" s="21">
        <f>'2.pielikums'!F30</f>
        <v>46000</v>
      </c>
    </row>
    <row r="18" spans="1:3" s="6" customFormat="1" ht="15" customHeight="1">
      <c r="A18" s="17" t="s">
        <v>529</v>
      </c>
      <c r="B18" s="17" t="s">
        <v>387</v>
      </c>
      <c r="C18" s="18">
        <f>C19</f>
        <v>7080</v>
      </c>
    </row>
    <row r="19" spans="1:3" s="6" customFormat="1" ht="30" customHeight="1">
      <c r="A19" s="19" t="s">
        <v>390</v>
      </c>
      <c r="B19" s="20" t="s">
        <v>389</v>
      </c>
      <c r="C19" s="21">
        <f>'2.pielikums'!F37</f>
        <v>7080</v>
      </c>
    </row>
    <row r="20" spans="1:3" s="6" customFormat="1" ht="15" customHeight="1">
      <c r="A20" s="17" t="s">
        <v>392</v>
      </c>
      <c r="B20" s="17" t="s">
        <v>391</v>
      </c>
      <c r="C20" s="18">
        <f>C21+C22</f>
        <v>24840</v>
      </c>
    </row>
    <row r="21" spans="1:3" s="6" customFormat="1" ht="15" customHeight="1">
      <c r="A21" s="19" t="s">
        <v>530</v>
      </c>
      <c r="B21" s="20" t="s">
        <v>531</v>
      </c>
      <c r="C21" s="21">
        <f>'2.pielikums'!F39</f>
        <v>12690</v>
      </c>
    </row>
    <row r="22" spans="1:3" s="6" customFormat="1" ht="15" customHeight="1">
      <c r="A22" s="19" t="s">
        <v>532</v>
      </c>
      <c r="B22" s="20" t="s">
        <v>533</v>
      </c>
      <c r="C22" s="21">
        <f>'2.pielikums'!F43</f>
        <v>12150</v>
      </c>
    </row>
    <row r="23" spans="1:3" s="6" customFormat="1" ht="15" customHeight="1">
      <c r="A23" s="17" t="s">
        <v>412</v>
      </c>
      <c r="B23" s="17" t="s">
        <v>411</v>
      </c>
      <c r="C23" s="18">
        <f>C24</f>
        <v>4000</v>
      </c>
    </row>
    <row r="24" spans="1:3" s="6" customFormat="1" ht="15" customHeight="1">
      <c r="A24" s="19" t="s">
        <v>534</v>
      </c>
      <c r="B24" s="20" t="s">
        <v>535</v>
      </c>
      <c r="C24" s="21">
        <f>'2.pielikums'!F49</f>
        <v>4000</v>
      </c>
    </row>
    <row r="25" spans="1:3" s="6" customFormat="1" ht="15" customHeight="1">
      <c r="A25" s="17" t="s">
        <v>418</v>
      </c>
      <c r="B25" s="17" t="s">
        <v>417</v>
      </c>
      <c r="C25" s="18">
        <f>C26</f>
        <v>133975</v>
      </c>
    </row>
    <row r="26" spans="1:3" s="6" customFormat="1" ht="15" customHeight="1">
      <c r="A26" s="22" t="s">
        <v>536</v>
      </c>
      <c r="B26" s="20" t="s">
        <v>537</v>
      </c>
      <c r="C26" s="21">
        <f>'2.pielikums'!F52</f>
        <v>133975</v>
      </c>
    </row>
    <row r="27" spans="1:3" s="6" customFormat="1" ht="30" customHeight="1">
      <c r="A27" s="17" t="s">
        <v>538</v>
      </c>
      <c r="B27" s="17" t="s">
        <v>421</v>
      </c>
      <c r="C27" s="18">
        <f>C28+C29</f>
        <v>420000</v>
      </c>
    </row>
    <row r="28" spans="1:3" s="6" customFormat="1" ht="15" customHeight="1">
      <c r="A28" s="19" t="s">
        <v>539</v>
      </c>
      <c r="B28" s="23" t="s">
        <v>540</v>
      </c>
      <c r="C28" s="21">
        <f>'2.pielikums'!F55</f>
        <v>20000</v>
      </c>
    </row>
    <row r="29" spans="1:3" s="6" customFormat="1" ht="15" customHeight="1">
      <c r="A29" s="19" t="s">
        <v>541</v>
      </c>
      <c r="B29" s="23" t="s">
        <v>542</v>
      </c>
      <c r="C29" s="21">
        <f>'2.pielikums'!F56</f>
        <v>400000</v>
      </c>
    </row>
    <row r="30" spans="1:3" s="6" customFormat="1" ht="30" customHeight="1">
      <c r="A30" s="17" t="s">
        <v>543</v>
      </c>
      <c r="B30" s="17" t="s">
        <v>429</v>
      </c>
      <c r="C30" s="18">
        <f>C31</f>
        <v>912778</v>
      </c>
    </row>
    <row r="31" spans="1:3" s="6" customFormat="1" ht="30" customHeight="1">
      <c r="A31" s="19" t="s">
        <v>544</v>
      </c>
      <c r="B31" s="20" t="s">
        <v>545</v>
      </c>
      <c r="C31" s="21">
        <f>'2.pielikums'!F58</f>
        <v>912778</v>
      </c>
    </row>
    <row r="32" spans="1:3" s="6" customFormat="1" ht="15" customHeight="1">
      <c r="A32" s="17" t="s">
        <v>546</v>
      </c>
      <c r="B32" s="17" t="s">
        <v>433</v>
      </c>
      <c r="C32" s="18">
        <f>C33</f>
        <v>14303939</v>
      </c>
    </row>
    <row r="33" spans="1:3" s="6" customFormat="1" ht="15" customHeight="1">
      <c r="A33" s="19" t="s">
        <v>547</v>
      </c>
      <c r="B33" s="20" t="s">
        <v>548</v>
      </c>
      <c r="C33" s="21">
        <f>'2.pielikums'!F61</f>
        <v>14303939</v>
      </c>
    </row>
    <row r="34" spans="1:3" s="6" customFormat="1" ht="15" customHeight="1">
      <c r="A34" s="17" t="s">
        <v>605</v>
      </c>
      <c r="B34" s="17" t="s">
        <v>606</v>
      </c>
      <c r="C34" s="18">
        <f>C35</f>
        <v>158500</v>
      </c>
    </row>
    <row r="35" spans="1:3" s="6" customFormat="1" ht="15" customHeight="1">
      <c r="A35" s="19" t="s">
        <v>607</v>
      </c>
      <c r="B35" s="20" t="s">
        <v>608</v>
      </c>
      <c r="C35" s="21">
        <f>'2.pielikums'!F93</f>
        <v>158500</v>
      </c>
    </row>
    <row r="36" spans="1:3" s="6" customFormat="1" ht="15" customHeight="1">
      <c r="A36" s="17" t="s">
        <v>549</v>
      </c>
      <c r="B36" s="17" t="s">
        <v>550</v>
      </c>
      <c r="C36" s="18">
        <f>SUM(C37:C38)</f>
        <v>5112920</v>
      </c>
    </row>
    <row r="37" spans="1:3" s="6" customFormat="1" ht="30" customHeight="1">
      <c r="A37" s="19" t="s">
        <v>551</v>
      </c>
      <c r="B37" s="20" t="s">
        <v>552</v>
      </c>
      <c r="C37" s="21">
        <f>'2.pielikums'!F96</f>
        <v>4508265</v>
      </c>
    </row>
    <row r="38" spans="1:3" s="6" customFormat="1" ht="30" customHeight="1">
      <c r="A38" s="19" t="s">
        <v>553</v>
      </c>
      <c r="B38" s="20" t="s">
        <v>554</v>
      </c>
      <c r="C38" s="21">
        <f>'2.pielikums'!F116</f>
        <v>604655</v>
      </c>
    </row>
    <row r="39" spans="1:3" s="6" customFormat="1" ht="30" customHeight="1">
      <c r="A39" s="2" t="s">
        <v>555</v>
      </c>
      <c r="B39" s="17" t="s">
        <v>556</v>
      </c>
      <c r="C39" s="24">
        <f>C40</f>
        <v>36798522</v>
      </c>
    </row>
    <row r="40" spans="1:3" s="6" customFormat="1" ht="30" customHeight="1">
      <c r="A40" s="25" t="s">
        <v>557</v>
      </c>
      <c r="B40" s="26"/>
      <c r="C40" s="24">
        <f>SUM(C41:C49)</f>
        <v>36798522</v>
      </c>
    </row>
    <row r="41" spans="1:3" s="6" customFormat="1" ht="15" customHeight="1">
      <c r="A41" s="17" t="s">
        <v>268</v>
      </c>
      <c r="B41" s="17" t="s">
        <v>267</v>
      </c>
      <c r="C41" s="24">
        <f>'3.pielikums'!H12</f>
        <v>4394774</v>
      </c>
    </row>
    <row r="42" spans="1:3" s="6" customFormat="1" ht="15" customHeight="1">
      <c r="A42" s="17" t="s">
        <v>271</v>
      </c>
      <c r="B42" s="17" t="s">
        <v>270</v>
      </c>
      <c r="C42" s="24">
        <f>'3.pielikums'!H44</f>
        <v>315668</v>
      </c>
    </row>
    <row r="43" spans="1:3" s="6" customFormat="1" ht="15" customHeight="1">
      <c r="A43" s="17" t="s">
        <v>273</v>
      </c>
      <c r="B43" s="17" t="s">
        <v>272</v>
      </c>
      <c r="C43" s="24">
        <f>'3.pielikums'!H48</f>
        <v>2962888</v>
      </c>
    </row>
    <row r="44" spans="1:3" s="6" customFormat="1" ht="15" customHeight="1">
      <c r="A44" s="17" t="s">
        <v>279</v>
      </c>
      <c r="B44" s="17" t="s">
        <v>278</v>
      </c>
      <c r="C44" s="24">
        <f>'3.pielikums'!H86</f>
        <v>211308</v>
      </c>
    </row>
    <row r="45" spans="1:3" s="6" customFormat="1" ht="15" customHeight="1">
      <c r="A45" s="17" t="s">
        <v>558</v>
      </c>
      <c r="B45" s="17" t="s">
        <v>280</v>
      </c>
      <c r="C45" s="24">
        <f>'3.pielikums'!H107</f>
        <v>4415221</v>
      </c>
    </row>
    <row r="46" spans="1:3" s="6" customFormat="1" ht="15" customHeight="1">
      <c r="A46" s="17" t="s">
        <v>287</v>
      </c>
      <c r="B46" s="17" t="s">
        <v>286</v>
      </c>
      <c r="C46" s="24">
        <f>'3.pielikums'!H175</f>
        <v>224212</v>
      </c>
    </row>
    <row r="47" spans="1:3" s="6" customFormat="1" ht="15" customHeight="1">
      <c r="A47" s="17" t="s">
        <v>559</v>
      </c>
      <c r="B47" s="17" t="s">
        <v>297</v>
      </c>
      <c r="C47" s="24">
        <f>'3.pielikums'!H190</f>
        <v>4325037</v>
      </c>
    </row>
    <row r="48" spans="1:3" s="6" customFormat="1" ht="15" customHeight="1">
      <c r="A48" s="17" t="s">
        <v>311</v>
      </c>
      <c r="B48" s="17" t="s">
        <v>310</v>
      </c>
      <c r="C48" s="24">
        <f>'3.pielikums'!H241</f>
        <v>13916699</v>
      </c>
    </row>
    <row r="49" spans="1:3" s="6" customFormat="1" ht="15" customHeight="1">
      <c r="A49" s="17" t="s">
        <v>323</v>
      </c>
      <c r="B49" s="17" t="s">
        <v>322</v>
      </c>
      <c r="C49" s="24">
        <f>'3.pielikums'!H313</f>
        <v>6032715</v>
      </c>
    </row>
    <row r="50" spans="1:3" s="6" customFormat="1" ht="30" customHeight="1">
      <c r="A50" s="25" t="s">
        <v>560</v>
      </c>
      <c r="B50" s="26"/>
      <c r="C50" s="18">
        <f>C51+C52+C53+C54+C55+C56+C57</f>
        <v>36798522</v>
      </c>
    </row>
    <row r="51" spans="1:3" s="6" customFormat="1" ht="15" customHeight="1">
      <c r="A51" s="17" t="s">
        <v>561</v>
      </c>
      <c r="B51" s="17" t="s">
        <v>562</v>
      </c>
      <c r="C51" s="18">
        <f>'4.pielikums'!C314</f>
        <v>20147637</v>
      </c>
    </row>
    <row r="52" spans="1:3" s="6" customFormat="1" ht="15" customHeight="1">
      <c r="A52" s="17" t="s">
        <v>84</v>
      </c>
      <c r="B52" s="17" t="s">
        <v>563</v>
      </c>
      <c r="C52" s="18">
        <f>'4.pielikums'!D314</f>
        <v>8578659</v>
      </c>
    </row>
    <row r="53" spans="1:3" s="6" customFormat="1" ht="15" customHeight="1">
      <c r="A53" s="17" t="s">
        <v>85</v>
      </c>
      <c r="B53" s="17" t="s">
        <v>564</v>
      </c>
      <c r="C53" s="18">
        <f>'4.pielikums'!E314</f>
        <v>61169</v>
      </c>
    </row>
    <row r="54" spans="1:3" s="6" customFormat="1" ht="15" customHeight="1">
      <c r="A54" s="17" t="s">
        <v>565</v>
      </c>
      <c r="B54" s="17" t="s">
        <v>566</v>
      </c>
      <c r="C54" s="18">
        <f>'4.pielikums'!F314</f>
        <v>422480</v>
      </c>
    </row>
    <row r="55" spans="1:3" s="6" customFormat="1" ht="15" customHeight="1">
      <c r="A55" s="17" t="s">
        <v>87</v>
      </c>
      <c r="B55" s="17" t="s">
        <v>567</v>
      </c>
      <c r="C55" s="18">
        <f>'4.pielikums'!G314</f>
        <v>5760201</v>
      </c>
    </row>
    <row r="56" spans="1:3" s="6" customFormat="1" ht="15" customHeight="1">
      <c r="A56" s="17" t="s">
        <v>229</v>
      </c>
      <c r="B56" s="17" t="s">
        <v>568</v>
      </c>
      <c r="C56" s="18">
        <f>'4.pielikums'!H314</f>
        <v>1620864</v>
      </c>
    </row>
    <row r="57" spans="1:3" s="6" customFormat="1" ht="30" customHeight="1">
      <c r="A57" s="17" t="s">
        <v>569</v>
      </c>
      <c r="B57" s="17" t="s">
        <v>570</v>
      </c>
      <c r="C57" s="18">
        <f>'4.pielikums'!I314</f>
        <v>207512</v>
      </c>
    </row>
    <row r="58" spans="1:3" s="6" customFormat="1" ht="30" customHeight="1">
      <c r="A58" s="27"/>
      <c r="B58" s="27"/>
      <c r="C58" s="28"/>
    </row>
    <row r="59" spans="1:3" s="6" customFormat="1" ht="15" customHeight="1">
      <c r="A59" s="2" t="s">
        <v>571</v>
      </c>
      <c r="B59" s="17" t="s">
        <v>556</v>
      </c>
      <c r="C59" s="18">
        <f>C11-C39</f>
        <v>-4723180</v>
      </c>
    </row>
    <row r="60" spans="1:4" s="6" customFormat="1" ht="30" customHeight="1">
      <c r="A60" s="2" t="s">
        <v>572</v>
      </c>
      <c r="B60" s="17" t="s">
        <v>556</v>
      </c>
      <c r="C60" s="24">
        <f>C61+C66</f>
        <v>4723179.9565217393</v>
      </c>
      <c r="D60" s="102"/>
    </row>
    <row r="61" spans="1:3" s="29" customFormat="1" ht="15" customHeight="1">
      <c r="A61" s="17" t="s">
        <v>573</v>
      </c>
      <c r="B61" s="17" t="s">
        <v>574</v>
      </c>
      <c r="C61" s="24">
        <f>C62+C63</f>
        <v>2908300</v>
      </c>
    </row>
    <row r="62" spans="1:3" s="29" customFormat="1" ht="15" customHeight="1">
      <c r="A62" s="17" t="s">
        <v>575</v>
      </c>
      <c r="B62" s="17" t="s">
        <v>576</v>
      </c>
      <c r="C62" s="24">
        <v>5214</v>
      </c>
    </row>
    <row r="63" spans="1:3" s="29" customFormat="1" ht="15" customHeight="1">
      <c r="A63" s="17" t="s">
        <v>577</v>
      </c>
      <c r="B63" s="17" t="s">
        <v>578</v>
      </c>
      <c r="C63" s="24">
        <f>C64-C65</f>
        <v>2903086</v>
      </c>
    </row>
    <row r="64" spans="1:3" s="6" customFormat="1" ht="15" customHeight="1">
      <c r="A64" s="17" t="s">
        <v>579</v>
      </c>
      <c r="B64" s="17" t="s">
        <v>580</v>
      </c>
      <c r="C64" s="24">
        <v>3385839</v>
      </c>
    </row>
    <row r="65" spans="1:3" s="6" customFormat="1" ht="30" customHeight="1">
      <c r="A65" s="17" t="s">
        <v>581</v>
      </c>
      <c r="B65" s="17" t="s">
        <v>582</v>
      </c>
      <c r="C65" s="24">
        <f>432613+50140</f>
        <v>482753</v>
      </c>
    </row>
    <row r="66" spans="1:3" s="6" customFormat="1" ht="15" customHeight="1">
      <c r="A66" s="17" t="s">
        <v>266</v>
      </c>
      <c r="B66" s="17" t="s">
        <v>583</v>
      </c>
      <c r="C66" s="24">
        <f>C67-C68</f>
        <v>1814879.9565217393</v>
      </c>
    </row>
    <row r="67" spans="1:3" s="6" customFormat="1" ht="15" customHeight="1">
      <c r="A67" s="17" t="s">
        <v>584</v>
      </c>
      <c r="B67" s="17" t="s">
        <v>590</v>
      </c>
      <c r="C67" s="24">
        <f>'3.pielikums'!G11</f>
        <v>3499040.9565217393</v>
      </c>
    </row>
    <row r="68" spans="1:3" s="6" customFormat="1" ht="15" customHeight="1">
      <c r="A68" s="17" t="s">
        <v>585</v>
      </c>
      <c r="B68" s="17" t="s">
        <v>586</v>
      </c>
      <c r="C68" s="24">
        <v>1684161</v>
      </c>
    </row>
    <row r="70" spans="1:3" ht="15.75">
      <c r="A70" s="109" t="s">
        <v>645</v>
      </c>
      <c r="B70" s="109"/>
      <c r="C70" s="109"/>
    </row>
  </sheetData>
  <mergeCells count="2">
    <mergeCell ref="A8:C8"/>
    <mergeCell ref="A70:C70"/>
  </mergeCells>
  <pageMargins left="0.7" right="0.7" top="0.75" bottom="0.75" header="0.3" footer="0.3"/>
  <pageSetup orientation="portrait" paperSize="9" scale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BD9AB9-CC0C-4DFE-860E-DB1388F55D08}">
  <dimension ref="A2:G120"/>
  <sheetViews>
    <sheetView workbookViewId="0" topLeftCell="A121">
      <selection pane="topLeft" activeCell="H5" sqref="H5"/>
    </sheetView>
  </sheetViews>
  <sheetFormatPr defaultRowHeight="15"/>
  <cols>
    <col min="1" max="1" width="16.142857142857142" style="30" customWidth="1"/>
    <col min="2" max="2" width="47.142857142857146" style="30" customWidth="1"/>
    <col min="3" max="6" width="15.714285714285714" style="30" customWidth="1"/>
    <col min="7" max="16384" width="9.142857142857142" style="30"/>
  </cols>
  <sheetData>
    <row r="1" ht="15" customHeight="1"/>
    <row r="2" spans="1:6" ht="15" customHeight="1">
      <c r="A2" s="31"/>
      <c r="B2" s="32"/>
      <c r="C2" s="33"/>
      <c r="D2" s="33"/>
      <c r="E2" s="33"/>
      <c r="F2" s="7" t="s">
        <v>338</v>
      </c>
    </row>
    <row r="3" spans="1:6" ht="15" customHeight="1">
      <c r="A3" s="31"/>
      <c r="B3" s="32"/>
      <c r="C3" s="33"/>
      <c r="D3" s="33"/>
      <c r="E3" s="33"/>
      <c r="F3" s="8" t="s">
        <v>629</v>
      </c>
    </row>
    <row r="4" spans="1:7" ht="15" customHeight="1">
      <c r="A4" s="31"/>
      <c r="D4" s="8"/>
      <c r="E4" s="8"/>
      <c r="F4" s="8" t="s">
        <v>668</v>
      </c>
      <c r="G4" s="34"/>
    </row>
    <row r="5" spans="1:6" ht="15" customHeight="1">
      <c r="A5" s="31"/>
      <c r="B5" s="35"/>
      <c r="D5" s="8"/>
      <c r="E5" s="8"/>
      <c r="F5" s="8" t="s">
        <v>240</v>
      </c>
    </row>
    <row r="6" spans="1:6" ht="15" customHeight="1">
      <c r="A6" s="31"/>
      <c r="B6" s="35"/>
      <c r="C6" s="32"/>
      <c r="D6" s="32"/>
      <c r="E6" s="32"/>
      <c r="F6" s="32"/>
    </row>
    <row r="7" spans="1:6" ht="15" customHeight="1">
      <c r="A7" s="31"/>
      <c r="B7" s="35"/>
      <c r="C7" s="32"/>
      <c r="D7" s="32"/>
      <c r="E7" s="32"/>
      <c r="F7" s="32"/>
    </row>
    <row r="8" spans="1:6" ht="15" customHeight="1">
      <c r="A8" s="31"/>
      <c r="B8" s="36"/>
      <c r="C8" s="32"/>
      <c r="D8" s="32"/>
      <c r="E8" s="32"/>
      <c r="F8" s="32"/>
    </row>
    <row r="9" spans="1:6" ht="15" customHeight="1">
      <c r="A9" s="110" t="s">
        <v>339</v>
      </c>
      <c r="B9" s="110"/>
      <c r="C9" s="110"/>
      <c r="D9" s="110"/>
      <c r="E9" s="110"/>
      <c r="F9" s="110"/>
    </row>
    <row r="10" spans="1:6" ht="15" customHeight="1">
      <c r="A10" s="31"/>
      <c r="B10" s="31"/>
      <c r="C10" s="32"/>
      <c r="D10" s="32"/>
      <c r="E10" s="32"/>
      <c r="F10" s="32"/>
    </row>
    <row r="11" spans="1:6" ht="15" customHeight="1">
      <c r="A11" s="111" t="s">
        <v>259</v>
      </c>
      <c r="B11" s="112" t="s">
        <v>340</v>
      </c>
      <c r="C11" s="113" t="s">
        <v>341</v>
      </c>
      <c r="D11" s="113"/>
      <c r="E11" s="113"/>
      <c r="F11" s="112" t="s">
        <v>342</v>
      </c>
    </row>
    <row r="12" spans="1:6" ht="45" customHeight="1">
      <c r="A12" s="111"/>
      <c r="B12" s="112"/>
      <c r="C12" s="37" t="s">
        <v>343</v>
      </c>
      <c r="D12" s="37" t="s">
        <v>344</v>
      </c>
      <c r="E12" s="37" t="s">
        <v>345</v>
      </c>
      <c r="F12" s="112"/>
    </row>
    <row r="13" spans="1:6" ht="15" customHeight="1">
      <c r="A13" s="1" t="s">
        <v>346</v>
      </c>
      <c r="B13" s="38" t="s">
        <v>347</v>
      </c>
      <c r="C13" s="39">
        <f>C15+C18+C30+C38+C49+C54+C52+C36</f>
        <v>11587205</v>
      </c>
      <c r="D13" s="39">
        <f>D93+D96+D116</f>
        <v>5271420</v>
      </c>
      <c r="E13" s="39">
        <f>E61+E58</f>
        <v>15216717</v>
      </c>
      <c r="F13" s="39">
        <f>F15+F18+F30+F39+F43+F49+F52+F54+F92+F93+F95+F62+F58+F91+F36</f>
        <v>32075342</v>
      </c>
    </row>
    <row r="14" spans="1:6" ht="15" customHeight="1">
      <c r="A14" s="38">
        <v>1</v>
      </c>
      <c r="B14" s="38" t="s">
        <v>348</v>
      </c>
      <c r="C14" s="39">
        <f>C15+C18+C30</f>
        <v>10997310</v>
      </c>
      <c r="D14" s="40"/>
      <c r="E14" s="40"/>
      <c r="F14" s="39">
        <f t="shared" si="0" ref="F14:F23">=C14</f>
        <v>10997310</v>
      </c>
    </row>
    <row r="15" spans="1:6" ht="15" customHeight="1">
      <c r="A15" s="38" t="s">
        <v>349</v>
      </c>
      <c r="B15" s="38" t="s">
        <v>350</v>
      </c>
      <c r="C15" s="39">
        <f>C16</f>
        <v>9705356</v>
      </c>
      <c r="D15" s="40"/>
      <c r="E15" s="40"/>
      <c r="F15" s="39">
        <f t="shared" si="0"/>
        <v>9705356</v>
      </c>
    </row>
    <row r="16" spans="1:6" ht="15" customHeight="1">
      <c r="A16" s="38" t="s">
        <v>351</v>
      </c>
      <c r="B16" s="38" t="s">
        <v>352</v>
      </c>
      <c r="C16" s="39">
        <f>C17</f>
        <v>9705356</v>
      </c>
      <c r="D16" s="40"/>
      <c r="E16" s="40"/>
      <c r="F16" s="39">
        <f t="shared" si="0"/>
        <v>9705356</v>
      </c>
    </row>
    <row r="17" spans="1:6" ht="15" customHeight="1">
      <c r="A17" s="41" t="s">
        <v>353</v>
      </c>
      <c r="B17" s="27" t="s">
        <v>352</v>
      </c>
      <c r="C17" s="40">
        <v>9705356</v>
      </c>
      <c r="D17" s="40"/>
      <c r="E17" s="40"/>
      <c r="F17" s="40">
        <f t="shared" si="0"/>
        <v>9705356</v>
      </c>
    </row>
    <row r="18" spans="1:6" ht="15" customHeight="1">
      <c r="A18" s="42" t="s">
        <v>354</v>
      </c>
      <c r="B18" s="38" t="s">
        <v>355</v>
      </c>
      <c r="C18" s="39">
        <f>C19</f>
        <v>1245954</v>
      </c>
      <c r="D18" s="40"/>
      <c r="E18" s="40"/>
      <c r="F18" s="39">
        <f t="shared" si="0"/>
        <v>1245954</v>
      </c>
    </row>
    <row r="19" spans="1:6" ht="15" customHeight="1">
      <c r="A19" s="38" t="s">
        <v>356</v>
      </c>
      <c r="B19" s="38" t="s">
        <v>357</v>
      </c>
      <c r="C19" s="39">
        <f>C20+C23+C27</f>
        <v>1245954</v>
      </c>
      <c r="D19" s="40"/>
      <c r="E19" s="40"/>
      <c r="F19" s="39">
        <f t="shared" si="0"/>
        <v>1245954</v>
      </c>
    </row>
    <row r="20" spans="1:6" ht="15" customHeight="1">
      <c r="A20" s="38" t="s">
        <v>358</v>
      </c>
      <c r="B20" s="38" t="s">
        <v>359</v>
      </c>
      <c r="C20" s="39">
        <f>C21+C22</f>
        <v>1114475</v>
      </c>
      <c r="D20" s="40"/>
      <c r="E20" s="40"/>
      <c r="F20" s="39">
        <f t="shared" si="0"/>
        <v>1114475</v>
      </c>
    </row>
    <row r="21" spans="1:6" ht="30" customHeight="1">
      <c r="A21" s="27" t="s">
        <v>360</v>
      </c>
      <c r="B21" s="43" t="s">
        <v>361</v>
      </c>
      <c r="C21" s="40">
        <f>747119+300000</f>
        <v>1047119</v>
      </c>
      <c r="D21" s="40"/>
      <c r="E21" s="40"/>
      <c r="F21" s="40">
        <f t="shared" si="0"/>
        <v>1047119</v>
      </c>
    </row>
    <row r="22" spans="1:6" ht="30" customHeight="1">
      <c r="A22" s="27" t="s">
        <v>362</v>
      </c>
      <c r="B22" s="43" t="s">
        <v>363</v>
      </c>
      <c r="C22" s="40">
        <v>67356</v>
      </c>
      <c r="D22" s="40"/>
      <c r="E22" s="40"/>
      <c r="F22" s="40">
        <f t="shared" si="0"/>
        <v>67356</v>
      </c>
    </row>
    <row r="23" spans="1:6" ht="15" customHeight="1">
      <c r="A23" s="38" t="s">
        <v>364</v>
      </c>
      <c r="B23" s="38" t="s">
        <v>365</v>
      </c>
      <c r="C23" s="39">
        <f>C24+C26</f>
        <v>81363</v>
      </c>
      <c r="D23" s="40"/>
      <c r="E23" s="40"/>
      <c r="F23" s="39">
        <f t="shared" si="0"/>
        <v>81363</v>
      </c>
    </row>
    <row r="24" spans="1:6" ht="30" customHeight="1">
      <c r="A24" s="27" t="s">
        <v>366</v>
      </c>
      <c r="B24" s="43" t="s">
        <v>367</v>
      </c>
      <c r="C24" s="40">
        <v>76097</v>
      </c>
      <c r="D24" s="40"/>
      <c r="E24" s="40"/>
      <c r="F24" s="40">
        <f t="shared" si="1" ref="F24:F25">=C24</f>
        <v>76097</v>
      </c>
    </row>
    <row r="25" spans="1:6" ht="15" customHeight="1">
      <c r="A25" s="27"/>
      <c r="B25" s="43" t="s">
        <v>368</v>
      </c>
      <c r="C25" s="40">
        <v>4954</v>
      </c>
      <c r="D25" s="40"/>
      <c r="E25" s="40"/>
      <c r="F25" s="40">
        <f t="shared" si="1"/>
        <v>4954</v>
      </c>
    </row>
    <row r="26" spans="1:6" ht="30" customHeight="1">
      <c r="A26" s="27" t="s">
        <v>369</v>
      </c>
      <c r="B26" s="43" t="s">
        <v>370</v>
      </c>
      <c r="C26" s="40">
        <v>5266</v>
      </c>
      <c r="D26" s="40"/>
      <c r="E26" s="40"/>
      <c r="F26" s="40">
        <f>C26</f>
        <v>5266</v>
      </c>
    </row>
    <row r="27" spans="1:6" ht="15" customHeight="1">
      <c r="A27" s="38" t="s">
        <v>371</v>
      </c>
      <c r="B27" s="26" t="s">
        <v>372</v>
      </c>
      <c r="C27" s="39">
        <f>C28+C29</f>
        <v>50116</v>
      </c>
      <c r="D27" s="40"/>
      <c r="E27" s="40"/>
      <c r="F27" s="39">
        <f>C27</f>
        <v>50116</v>
      </c>
    </row>
    <row r="28" spans="1:6" ht="30" customHeight="1">
      <c r="A28" s="27" t="s">
        <v>373</v>
      </c>
      <c r="B28" s="43" t="s">
        <v>374</v>
      </c>
      <c r="C28" s="40">
        <v>41969</v>
      </c>
      <c r="D28" s="40"/>
      <c r="E28" s="40"/>
      <c r="F28" s="40">
        <f>C28</f>
        <v>41969</v>
      </c>
    </row>
    <row r="29" spans="1:6" ht="30" customHeight="1">
      <c r="A29" s="27" t="s">
        <v>375</v>
      </c>
      <c r="B29" s="43" t="s">
        <v>652</v>
      </c>
      <c r="C29" s="40">
        <v>8147</v>
      </c>
      <c r="D29" s="40"/>
      <c r="E29" s="40"/>
      <c r="F29" s="40">
        <f>C29</f>
        <v>8147</v>
      </c>
    </row>
    <row r="30" spans="1:6" ht="30" customHeight="1">
      <c r="A30" s="38" t="s">
        <v>376</v>
      </c>
      <c r="B30" s="26" t="s">
        <v>377</v>
      </c>
      <c r="C30" s="39">
        <f>C31+C33</f>
        <v>46000</v>
      </c>
      <c r="D30" s="40"/>
      <c r="E30" s="40"/>
      <c r="F30" s="39">
        <f>C30</f>
        <v>46000</v>
      </c>
    </row>
    <row r="31" spans="1:6" ht="30" customHeight="1">
      <c r="A31" s="38" t="s">
        <v>378</v>
      </c>
      <c r="B31" s="26" t="s">
        <v>379</v>
      </c>
      <c r="C31" s="39">
        <f>C32</f>
        <v>9000</v>
      </c>
      <c r="D31" s="40"/>
      <c r="E31" s="40"/>
      <c r="F31" s="39">
        <f>F32</f>
        <v>9000</v>
      </c>
    </row>
    <row r="32" spans="1:6" ht="15" customHeight="1">
      <c r="A32" s="27" t="s">
        <v>380</v>
      </c>
      <c r="B32" s="27" t="s">
        <v>381</v>
      </c>
      <c r="C32" s="40">
        <v>9000</v>
      </c>
      <c r="D32" s="40"/>
      <c r="E32" s="40"/>
      <c r="F32" s="40">
        <f>C32</f>
        <v>9000</v>
      </c>
    </row>
    <row r="33" spans="1:6" ht="30" customHeight="1">
      <c r="A33" s="38" t="s">
        <v>382</v>
      </c>
      <c r="B33" s="26" t="s">
        <v>383</v>
      </c>
      <c r="C33" s="39">
        <f>C34</f>
        <v>37000</v>
      </c>
      <c r="D33" s="39"/>
      <c r="E33" s="39"/>
      <c r="F33" s="39">
        <f>F34</f>
        <v>37000</v>
      </c>
    </row>
    <row r="34" spans="1:6" ht="15" customHeight="1">
      <c r="A34" s="27" t="s">
        <v>384</v>
      </c>
      <c r="B34" s="27" t="s">
        <v>385</v>
      </c>
      <c r="C34" s="40">
        <v>37000</v>
      </c>
      <c r="D34" s="40"/>
      <c r="E34" s="40"/>
      <c r="F34" s="40">
        <f>C34</f>
        <v>37000</v>
      </c>
    </row>
    <row r="35" spans="1:6" ht="15" customHeight="1">
      <c r="A35" s="38">
        <v>2</v>
      </c>
      <c r="B35" s="38" t="s">
        <v>386</v>
      </c>
      <c r="C35" s="39">
        <f>C38+C49+C52+C54+C36</f>
        <v>589895</v>
      </c>
      <c r="D35" s="40"/>
      <c r="E35" s="40"/>
      <c r="F35" s="39">
        <f>C35</f>
        <v>589895</v>
      </c>
    </row>
    <row r="36" spans="1:6" ht="15" customHeight="1">
      <c r="A36" s="38" t="s">
        <v>387</v>
      </c>
      <c r="B36" s="38" t="s">
        <v>388</v>
      </c>
      <c r="C36" s="39">
        <f>C37</f>
        <v>7080</v>
      </c>
      <c r="D36" s="39"/>
      <c r="E36" s="39"/>
      <c r="F36" s="39">
        <f>F37</f>
        <v>7080</v>
      </c>
    </row>
    <row r="37" spans="1:6" ht="30" customHeight="1">
      <c r="A37" s="27" t="s">
        <v>389</v>
      </c>
      <c r="B37" s="43" t="s">
        <v>390</v>
      </c>
      <c r="C37" s="40">
        <v>7080</v>
      </c>
      <c r="D37" s="40"/>
      <c r="E37" s="40"/>
      <c r="F37" s="40">
        <f>C37</f>
        <v>7080</v>
      </c>
    </row>
    <row r="38" spans="1:6" s="44" customFormat="1" ht="30" customHeight="1">
      <c r="A38" s="38" t="s">
        <v>391</v>
      </c>
      <c r="B38" s="26" t="s">
        <v>392</v>
      </c>
      <c r="C38" s="39">
        <f>C39+C43</f>
        <v>24840</v>
      </c>
      <c r="D38" s="39"/>
      <c r="E38" s="39"/>
      <c r="F38" s="39">
        <f>C38</f>
        <v>24840</v>
      </c>
    </row>
    <row r="39" spans="1:6" s="44" customFormat="1" ht="15" customHeight="1">
      <c r="A39" s="38" t="s">
        <v>393</v>
      </c>
      <c r="B39" s="26" t="s">
        <v>394</v>
      </c>
      <c r="C39" s="39">
        <f>C40+C41+C42</f>
        <v>12690</v>
      </c>
      <c r="D39" s="39"/>
      <c r="E39" s="39"/>
      <c r="F39" s="39">
        <f>C39</f>
        <v>12690</v>
      </c>
    </row>
    <row r="40" spans="1:6" ht="30" customHeight="1">
      <c r="A40" s="27" t="s">
        <v>395</v>
      </c>
      <c r="B40" s="43" t="s">
        <v>396</v>
      </c>
      <c r="C40" s="40">
        <v>11000</v>
      </c>
      <c r="D40" s="40"/>
      <c r="E40" s="40"/>
      <c r="F40" s="40">
        <f t="shared" si="2" ref="F40:F42">=C40</f>
        <v>11000</v>
      </c>
    </row>
    <row r="41" spans="1:6" ht="30" customHeight="1">
      <c r="A41" s="27" t="s">
        <v>397</v>
      </c>
      <c r="B41" s="43" t="s">
        <v>398</v>
      </c>
      <c r="C41" s="40">
        <v>1400</v>
      </c>
      <c r="D41" s="40"/>
      <c r="E41" s="40"/>
      <c r="F41" s="40">
        <f t="shared" si="2"/>
        <v>1400</v>
      </c>
    </row>
    <row r="42" spans="1:6" ht="30" customHeight="1">
      <c r="A42" s="27" t="s">
        <v>399</v>
      </c>
      <c r="B42" s="43" t="s">
        <v>400</v>
      </c>
      <c r="C42" s="40">
        <v>290</v>
      </c>
      <c r="D42" s="40"/>
      <c r="E42" s="40"/>
      <c r="F42" s="40">
        <f t="shared" si="2"/>
        <v>290</v>
      </c>
    </row>
    <row r="43" spans="1:6" ht="15" customHeight="1">
      <c r="A43" s="38" t="s">
        <v>401</v>
      </c>
      <c r="B43" s="38" t="s">
        <v>402</v>
      </c>
      <c r="C43" s="39">
        <f>C44+C45+C46+C47+C48</f>
        <v>12150</v>
      </c>
      <c r="D43" s="40"/>
      <c r="E43" s="40"/>
      <c r="F43" s="39">
        <f>C43</f>
        <v>12150</v>
      </c>
    </row>
    <row r="44" spans="1:6" ht="30" customHeight="1">
      <c r="A44" s="27" t="s">
        <v>403</v>
      </c>
      <c r="B44" s="43" t="s">
        <v>404</v>
      </c>
      <c r="C44" s="40">
        <v>1000</v>
      </c>
      <c r="D44" s="40"/>
      <c r="E44" s="40"/>
      <c r="F44" s="40">
        <f t="shared" si="3" ref="F44:F47">=C44</f>
        <v>1000</v>
      </c>
    </row>
    <row r="45" spans="1:6" ht="15" customHeight="1">
      <c r="A45" s="27" t="s">
        <v>405</v>
      </c>
      <c r="B45" s="43" t="s">
        <v>406</v>
      </c>
      <c r="C45" s="40">
        <v>1000</v>
      </c>
      <c r="D45" s="40"/>
      <c r="E45" s="40"/>
      <c r="F45" s="40">
        <f t="shared" si="3"/>
        <v>1000</v>
      </c>
    </row>
    <row r="46" spans="1:6" ht="30" customHeight="1">
      <c r="A46" s="27" t="s">
        <v>407</v>
      </c>
      <c r="B46" s="43" t="s">
        <v>653</v>
      </c>
      <c r="C46" s="40">
        <v>50</v>
      </c>
      <c r="D46" s="40"/>
      <c r="E46" s="40"/>
      <c r="F46" s="40">
        <f t="shared" si="3"/>
        <v>50</v>
      </c>
    </row>
    <row r="47" spans="1:6" ht="30" customHeight="1">
      <c r="A47" s="27" t="s">
        <v>408</v>
      </c>
      <c r="B47" s="43" t="s">
        <v>630</v>
      </c>
      <c r="C47" s="40">
        <v>10000</v>
      </c>
      <c r="D47" s="40"/>
      <c r="E47" s="40"/>
      <c r="F47" s="40">
        <f t="shared" si="3"/>
        <v>10000</v>
      </c>
    </row>
    <row r="48" spans="1:6" ht="15" customHeight="1">
      <c r="A48" s="27" t="s">
        <v>409</v>
      </c>
      <c r="B48" s="43" t="s">
        <v>410</v>
      </c>
      <c r="C48" s="40">
        <v>100</v>
      </c>
      <c r="D48" s="40"/>
      <c r="E48" s="40"/>
      <c r="F48" s="40">
        <f>C48</f>
        <v>100</v>
      </c>
    </row>
    <row r="49" spans="1:6" ht="15" customHeight="1">
      <c r="A49" s="38" t="s">
        <v>411</v>
      </c>
      <c r="B49" s="38" t="s">
        <v>412</v>
      </c>
      <c r="C49" s="39">
        <f>C50+C51</f>
        <v>4000</v>
      </c>
      <c r="D49" s="40"/>
      <c r="E49" s="40"/>
      <c r="F49" s="39">
        <f>C49</f>
        <v>4000</v>
      </c>
    </row>
    <row r="50" spans="1:6" ht="15" customHeight="1">
      <c r="A50" s="27" t="s">
        <v>413</v>
      </c>
      <c r="B50" s="43" t="s">
        <v>414</v>
      </c>
      <c r="C50" s="40">
        <v>3500</v>
      </c>
      <c r="D50" s="40"/>
      <c r="E50" s="40"/>
      <c r="F50" s="40">
        <f t="shared" si="4" ref="F50">=C50</f>
        <v>3500</v>
      </c>
    </row>
    <row r="51" spans="1:6" ht="30" customHeight="1">
      <c r="A51" s="27" t="s">
        <v>415</v>
      </c>
      <c r="B51" s="43" t="s">
        <v>416</v>
      </c>
      <c r="C51" s="40">
        <v>500</v>
      </c>
      <c r="D51" s="40"/>
      <c r="E51" s="40"/>
      <c r="F51" s="40">
        <f>C51</f>
        <v>500</v>
      </c>
    </row>
    <row r="52" spans="1:6" ht="15" customHeight="1">
      <c r="A52" s="38" t="s">
        <v>417</v>
      </c>
      <c r="B52" s="26" t="s">
        <v>418</v>
      </c>
      <c r="C52" s="39">
        <f>C53</f>
        <v>133975</v>
      </c>
      <c r="D52" s="40"/>
      <c r="E52" s="40"/>
      <c r="F52" s="39">
        <f>C52</f>
        <v>133975</v>
      </c>
    </row>
    <row r="53" spans="1:6" ht="30" customHeight="1">
      <c r="A53" s="27" t="s">
        <v>419</v>
      </c>
      <c r="B53" s="43" t="s">
        <v>420</v>
      </c>
      <c r="C53" s="40">
        <v>133975</v>
      </c>
      <c r="D53" s="40"/>
      <c r="E53" s="40"/>
      <c r="F53" s="40">
        <f>C53</f>
        <v>133975</v>
      </c>
    </row>
    <row r="54" spans="1:6" ht="30" customHeight="1">
      <c r="A54" s="38" t="s">
        <v>421</v>
      </c>
      <c r="B54" s="26" t="s">
        <v>422</v>
      </c>
      <c r="C54" s="39">
        <f>C55+C56</f>
        <v>420000</v>
      </c>
      <c r="D54" s="40"/>
      <c r="E54" s="40"/>
      <c r="F54" s="39">
        <f>F55+F56</f>
        <v>420000</v>
      </c>
    </row>
    <row r="55" spans="1:6" ht="15" customHeight="1">
      <c r="A55" s="27" t="s">
        <v>423</v>
      </c>
      <c r="B55" s="43" t="s">
        <v>424</v>
      </c>
      <c r="C55" s="40">
        <v>20000</v>
      </c>
      <c r="D55" s="40"/>
      <c r="E55" s="40"/>
      <c r="F55" s="40">
        <f>C55</f>
        <v>20000</v>
      </c>
    </row>
    <row r="56" spans="1:6" ht="15" customHeight="1">
      <c r="A56" s="27" t="s">
        <v>425</v>
      </c>
      <c r="B56" s="27" t="s">
        <v>426</v>
      </c>
      <c r="C56" s="40">
        <f>C57</f>
        <v>400000</v>
      </c>
      <c r="D56" s="40"/>
      <c r="E56" s="40"/>
      <c r="F56" s="40">
        <f>C56</f>
        <v>400000</v>
      </c>
    </row>
    <row r="57" spans="1:6" ht="15" customHeight="1">
      <c r="A57" s="27" t="s">
        <v>427</v>
      </c>
      <c r="B57" s="27" t="s">
        <v>428</v>
      </c>
      <c r="C57" s="40">
        <v>400000</v>
      </c>
      <c r="D57" s="40"/>
      <c r="E57" s="40"/>
      <c r="F57" s="40">
        <f>C57</f>
        <v>400000</v>
      </c>
    </row>
    <row r="58" spans="1:6" ht="47.1" customHeight="1">
      <c r="A58" s="38" t="s">
        <v>429</v>
      </c>
      <c r="B58" s="26" t="s">
        <v>430</v>
      </c>
      <c r="C58" s="39"/>
      <c r="D58" s="39"/>
      <c r="E58" s="39">
        <f>E59+E60</f>
        <v>912778</v>
      </c>
      <c r="F58" s="39">
        <f>E58</f>
        <v>912778</v>
      </c>
    </row>
    <row r="59" spans="1:6" ht="47.1" customHeight="1">
      <c r="A59" s="27" t="s">
        <v>432</v>
      </c>
      <c r="B59" s="45" t="s">
        <v>431</v>
      </c>
      <c r="C59" s="40"/>
      <c r="D59" s="40"/>
      <c r="E59" s="40">
        <v>462678</v>
      </c>
      <c r="F59" s="40">
        <f t="shared" si="5" ref="F59:F60">=E59</f>
        <v>462678</v>
      </c>
    </row>
    <row r="60" spans="1:6" ht="47.1" customHeight="1">
      <c r="A60" s="27" t="s">
        <v>432</v>
      </c>
      <c r="B60" s="45" t="s">
        <v>654</v>
      </c>
      <c r="C60" s="40"/>
      <c r="D60" s="40"/>
      <c r="E60" s="40">
        <v>450100</v>
      </c>
      <c r="F60" s="40">
        <f t="shared" si="5"/>
        <v>450100</v>
      </c>
    </row>
    <row r="61" spans="1:6" ht="15" customHeight="1">
      <c r="A61" s="38" t="s">
        <v>433</v>
      </c>
      <c r="B61" s="38" t="s">
        <v>434</v>
      </c>
      <c r="C61" s="39"/>
      <c r="D61" s="39"/>
      <c r="E61" s="39">
        <f>E62+E92+E91</f>
        <v>14303939</v>
      </c>
      <c r="F61" s="39">
        <f>E61</f>
        <v>14303939</v>
      </c>
    </row>
    <row r="62" spans="1:6" ht="30" customHeight="1">
      <c r="A62" s="38" t="s">
        <v>435</v>
      </c>
      <c r="B62" s="26" t="s">
        <v>436</v>
      </c>
      <c r="C62" s="39"/>
      <c r="D62" s="39"/>
      <c r="E62" s="39">
        <f>E63+E64+E65+E66+E67+E68+E69+E70+E71+E72+E73+E74+E75+E76+E77+E78+E79+E80+E81+E82+E83+E84+E85+E86+E87+E88+E89+E90</f>
        <v>6853067</v>
      </c>
      <c r="F62" s="39">
        <f>E62</f>
        <v>6853067</v>
      </c>
    </row>
    <row r="63" spans="1:6" ht="45" customHeight="1">
      <c r="A63" s="27" t="s">
        <v>437</v>
      </c>
      <c r="B63" s="43" t="s">
        <v>438</v>
      </c>
      <c r="C63" s="40"/>
      <c r="D63" s="40"/>
      <c r="E63" s="40">
        <v>2803536</v>
      </c>
      <c r="F63" s="40">
        <f t="shared" si="6" ref="F63:F73">=E63</f>
        <v>2803536</v>
      </c>
    </row>
    <row r="64" spans="1:6" ht="60" customHeight="1">
      <c r="A64" s="27" t="s">
        <v>437</v>
      </c>
      <c r="B64" s="43" t="s">
        <v>439</v>
      </c>
      <c r="C64" s="40"/>
      <c r="D64" s="40"/>
      <c r="E64" s="40">
        <v>152480</v>
      </c>
      <c r="F64" s="40">
        <f t="shared" si="6"/>
        <v>152480</v>
      </c>
    </row>
    <row r="65" spans="1:6" ht="45" customHeight="1">
      <c r="A65" s="27" t="s">
        <v>437</v>
      </c>
      <c r="B65" s="43" t="s">
        <v>440</v>
      </c>
      <c r="C65" s="40"/>
      <c r="D65" s="40"/>
      <c r="E65" s="40">
        <v>128272</v>
      </c>
      <c r="F65" s="40">
        <f t="shared" si="6"/>
        <v>128272</v>
      </c>
    </row>
    <row r="66" spans="1:6" ht="60" customHeight="1">
      <c r="A66" s="27" t="s">
        <v>441</v>
      </c>
      <c r="B66" s="43" t="s">
        <v>655</v>
      </c>
      <c r="C66" s="40"/>
      <c r="D66" s="40"/>
      <c r="E66" s="40">
        <v>380944</v>
      </c>
      <c r="F66" s="40">
        <f t="shared" si="6"/>
        <v>380944</v>
      </c>
    </row>
    <row r="67" spans="1:6" ht="30" customHeight="1">
      <c r="A67" s="27" t="s">
        <v>442</v>
      </c>
      <c r="B67" s="43" t="s">
        <v>443</v>
      </c>
      <c r="C67" s="40"/>
      <c r="D67" s="40"/>
      <c r="E67" s="40">
        <v>25441</v>
      </c>
      <c r="F67" s="40">
        <f t="shared" si="6"/>
        <v>25441</v>
      </c>
    </row>
    <row r="68" spans="1:6" ht="15" customHeight="1">
      <c r="A68" s="27" t="s">
        <v>444</v>
      </c>
      <c r="B68" s="43" t="s">
        <v>445</v>
      </c>
      <c r="C68" s="40"/>
      <c r="D68" s="40"/>
      <c r="E68" s="40">
        <v>861695</v>
      </c>
      <c r="F68" s="40">
        <f>E68</f>
        <v>861695</v>
      </c>
    </row>
    <row r="69" spans="1:6" ht="15" customHeight="1">
      <c r="A69" s="27" t="s">
        <v>446</v>
      </c>
      <c r="B69" s="27" t="s">
        <v>447</v>
      </c>
      <c r="C69" s="40"/>
      <c r="D69" s="40"/>
      <c r="E69" s="40">
        <v>277541</v>
      </c>
      <c r="F69" s="40">
        <f t="shared" si="6"/>
        <v>277541</v>
      </c>
    </row>
    <row r="70" spans="1:6" ht="15" customHeight="1">
      <c r="A70" s="27" t="s">
        <v>448</v>
      </c>
      <c r="B70" s="27" t="s">
        <v>449</v>
      </c>
      <c r="C70" s="40"/>
      <c r="D70" s="40"/>
      <c r="E70" s="40">
        <v>434702</v>
      </c>
      <c r="F70" s="40">
        <f t="shared" si="6"/>
        <v>434702</v>
      </c>
    </row>
    <row r="71" spans="1:6" ht="30" customHeight="1">
      <c r="A71" s="27" t="s">
        <v>450</v>
      </c>
      <c r="B71" s="43" t="s">
        <v>451</v>
      </c>
      <c r="C71" s="40"/>
      <c r="D71" s="40"/>
      <c r="E71" s="40">
        <v>114793</v>
      </c>
      <c r="F71" s="40">
        <f t="shared" si="6"/>
        <v>114793</v>
      </c>
    </row>
    <row r="72" spans="1:6" ht="45" customHeight="1">
      <c r="A72" s="27" t="s">
        <v>452</v>
      </c>
      <c r="B72" s="43" t="s">
        <v>656</v>
      </c>
      <c r="C72" s="40"/>
      <c r="D72" s="40"/>
      <c r="E72" s="40">
        <v>142073</v>
      </c>
      <c r="F72" s="40">
        <f t="shared" si="6"/>
        <v>142073</v>
      </c>
    </row>
    <row r="73" spans="1:6" ht="45" customHeight="1">
      <c r="A73" s="27" t="s">
        <v>453</v>
      </c>
      <c r="B73" s="43" t="s">
        <v>454</v>
      </c>
      <c r="C73" s="40"/>
      <c r="D73" s="40"/>
      <c r="E73" s="40">
        <v>23722</v>
      </c>
      <c r="F73" s="40">
        <f t="shared" si="6"/>
        <v>23722</v>
      </c>
    </row>
    <row r="74" spans="1:6" ht="30" customHeight="1">
      <c r="A74" s="27" t="s">
        <v>455</v>
      </c>
      <c r="B74" s="43" t="s">
        <v>456</v>
      </c>
      <c r="C74" s="40"/>
      <c r="D74" s="40"/>
      <c r="E74" s="40">
        <v>33980</v>
      </c>
      <c r="F74" s="40">
        <f t="shared" si="7" ref="F74:F89">=E74</f>
        <v>33980</v>
      </c>
    </row>
    <row r="75" spans="1:6" ht="15" customHeight="1">
      <c r="A75" s="27"/>
      <c r="B75" s="43" t="s">
        <v>457</v>
      </c>
      <c r="C75" s="40"/>
      <c r="D75" s="40"/>
      <c r="E75" s="40">
        <v>11861</v>
      </c>
      <c r="F75" s="40">
        <f t="shared" si="7"/>
        <v>11861</v>
      </c>
    </row>
    <row r="76" spans="1:6" ht="30" customHeight="1">
      <c r="A76" s="27" t="s">
        <v>458</v>
      </c>
      <c r="B76" s="43" t="s">
        <v>657</v>
      </c>
      <c r="C76" s="40"/>
      <c r="D76" s="40"/>
      <c r="E76" s="40">
        <v>3690</v>
      </c>
      <c r="F76" s="40">
        <f t="shared" si="7"/>
        <v>3690</v>
      </c>
    </row>
    <row r="77" spans="1:6" ht="15" customHeight="1">
      <c r="A77" s="27" t="s">
        <v>459</v>
      </c>
      <c r="B77" s="27" t="s">
        <v>460</v>
      </c>
      <c r="C77" s="40"/>
      <c r="D77" s="40"/>
      <c r="E77" s="40">
        <v>94383</v>
      </c>
      <c r="F77" s="40">
        <f>E77</f>
        <v>94383</v>
      </c>
    </row>
    <row r="78" spans="1:6" ht="15" customHeight="1">
      <c r="A78" s="27"/>
      <c r="B78" s="27" t="s">
        <v>182</v>
      </c>
      <c r="C78" s="40"/>
      <c r="D78" s="40"/>
      <c r="E78" s="40">
        <v>34886</v>
      </c>
      <c r="F78" s="40">
        <f t="shared" si="7"/>
        <v>34886</v>
      </c>
    </row>
    <row r="79" spans="1:6" ht="30" customHeight="1">
      <c r="A79" s="27" t="s">
        <v>461</v>
      </c>
      <c r="B79" s="43" t="s">
        <v>462</v>
      </c>
      <c r="C79" s="40"/>
      <c r="D79" s="40"/>
      <c r="E79" s="40">
        <v>484637</v>
      </c>
      <c r="F79" s="40">
        <f t="shared" si="7"/>
        <v>484637</v>
      </c>
    </row>
    <row r="80" spans="1:6" ht="30" customHeight="1">
      <c r="A80" s="27"/>
      <c r="B80" s="43" t="s">
        <v>246</v>
      </c>
      <c r="C80" s="40"/>
      <c r="D80" s="40"/>
      <c r="E80" s="40">
        <v>111000</v>
      </c>
      <c r="F80" s="40">
        <f t="shared" si="7"/>
        <v>111000</v>
      </c>
    </row>
    <row r="81" spans="1:6" ht="15" customHeight="1">
      <c r="A81" s="27"/>
      <c r="B81" s="43" t="s">
        <v>592</v>
      </c>
      <c r="C81" s="40"/>
      <c r="D81" s="40"/>
      <c r="E81" s="40">
        <v>5000</v>
      </c>
      <c r="F81" s="40">
        <f t="shared" si="7"/>
        <v>5000</v>
      </c>
    </row>
    <row r="82" spans="1:6" ht="15" customHeight="1">
      <c r="A82" s="27"/>
      <c r="B82" s="43" t="s">
        <v>600</v>
      </c>
      <c r="C82" s="40"/>
      <c r="D82" s="40"/>
      <c r="E82" s="40">
        <v>96548</v>
      </c>
      <c r="F82" s="40">
        <f t="shared" si="7"/>
        <v>96548</v>
      </c>
    </row>
    <row r="83" spans="1:6" ht="15" customHeight="1">
      <c r="A83" s="27" t="s">
        <v>463</v>
      </c>
      <c r="B83" s="45" t="s">
        <v>274</v>
      </c>
      <c r="C83" s="40"/>
      <c r="D83" s="40"/>
      <c r="E83" s="40">
        <v>172800</v>
      </c>
      <c r="F83" s="40">
        <f t="shared" si="7"/>
        <v>172800</v>
      </c>
    </row>
    <row r="84" spans="1:6" ht="15" customHeight="1">
      <c r="A84" s="27" t="s">
        <v>464</v>
      </c>
      <c r="B84" s="45" t="s">
        <v>587</v>
      </c>
      <c r="C84" s="40"/>
      <c r="D84" s="40"/>
      <c r="E84" s="40">
        <f>23256+7752</f>
        <v>31008</v>
      </c>
      <c r="F84" s="40">
        <f t="shared" si="7"/>
        <v>31008</v>
      </c>
    </row>
    <row r="85" spans="1:6" ht="32.1" customHeight="1">
      <c r="A85" s="27" t="s">
        <v>465</v>
      </c>
      <c r="B85" s="45" t="s">
        <v>597</v>
      </c>
      <c r="C85" s="40"/>
      <c r="D85" s="40"/>
      <c r="E85" s="40">
        <v>9781</v>
      </c>
      <c r="F85" s="40">
        <f t="shared" si="7"/>
        <v>9781</v>
      </c>
    </row>
    <row r="86" spans="1:6" ht="15" customHeight="1">
      <c r="A86" s="27" t="s">
        <v>465</v>
      </c>
      <c r="B86" s="45" t="s">
        <v>598</v>
      </c>
      <c r="C86" s="40"/>
      <c r="D86" s="40"/>
      <c r="E86" s="40">
        <v>45466</v>
      </c>
      <c r="F86" s="40">
        <f t="shared" si="7"/>
        <v>45466</v>
      </c>
    </row>
    <row r="87" spans="1:6" ht="30" customHeight="1">
      <c r="A87" s="27" t="s">
        <v>465</v>
      </c>
      <c r="B87" s="45" t="s">
        <v>593</v>
      </c>
      <c r="C87" s="40"/>
      <c r="D87" s="40"/>
      <c r="E87" s="40">
        <v>42157</v>
      </c>
      <c r="F87" s="40">
        <f t="shared" si="8" ref="F87">=E87</f>
        <v>42157</v>
      </c>
    </row>
    <row r="88" spans="1:6" ht="30" customHeight="1">
      <c r="A88" s="27" t="s">
        <v>465</v>
      </c>
      <c r="B88" s="45" t="s">
        <v>650</v>
      </c>
      <c r="C88" s="40"/>
      <c r="D88" s="40"/>
      <c r="E88" s="40">
        <v>53978</v>
      </c>
      <c r="F88" s="40">
        <f t="shared" si="9" ref="F88">=E88</f>
        <v>53978</v>
      </c>
    </row>
    <row r="89" spans="1:6" ht="30" customHeight="1">
      <c r="A89" s="27" t="s">
        <v>468</v>
      </c>
      <c r="B89" s="45" t="s">
        <v>651</v>
      </c>
      <c r="C89" s="40"/>
      <c r="D89" s="40"/>
      <c r="E89" s="40">
        <v>44978</v>
      </c>
      <c r="F89" s="40">
        <f t="shared" si="7"/>
        <v>44978</v>
      </c>
    </row>
    <row r="90" spans="1:6" ht="15" customHeight="1">
      <c r="A90" s="27" t="s">
        <v>466</v>
      </c>
      <c r="B90" s="45" t="s">
        <v>467</v>
      </c>
      <c r="C90" s="40"/>
      <c r="D90" s="40"/>
      <c r="E90" s="40">
        <v>231715</v>
      </c>
      <c r="F90" s="40">
        <f>E90</f>
        <v>231715</v>
      </c>
    </row>
    <row r="91" spans="1:6" s="44" customFormat="1" ht="60" customHeight="1">
      <c r="A91" s="38" t="s">
        <v>469</v>
      </c>
      <c r="B91" s="26" t="s">
        <v>470</v>
      </c>
      <c r="C91" s="39"/>
      <c r="D91" s="39"/>
      <c r="E91" s="39">
        <f>627219+2800</f>
        <v>630019</v>
      </c>
      <c r="F91" s="39">
        <f>E91</f>
        <v>630019</v>
      </c>
    </row>
    <row r="92" spans="1:6" s="44" customFormat="1" ht="30" customHeight="1">
      <c r="A92" s="38" t="s">
        <v>471</v>
      </c>
      <c r="B92" s="26" t="s">
        <v>472</v>
      </c>
      <c r="C92" s="39"/>
      <c r="D92" s="39"/>
      <c r="E92" s="39">
        <v>6820853</v>
      </c>
      <c r="F92" s="39">
        <f>E92</f>
        <v>6820853</v>
      </c>
    </row>
    <row r="93" spans="1:6" s="44" customFormat="1" ht="15" customHeight="1">
      <c r="A93" s="38" t="s">
        <v>603</v>
      </c>
      <c r="B93" s="26" t="s">
        <v>602</v>
      </c>
      <c r="C93" s="39"/>
      <c r="D93" s="39">
        <f>D94</f>
        <v>158500</v>
      </c>
      <c r="E93" s="39"/>
      <c r="F93" s="39">
        <f>C93+D93+E93</f>
        <v>158500</v>
      </c>
    </row>
    <row r="94" spans="1:6" ht="15" customHeight="1">
      <c r="A94" s="27" t="s">
        <v>604</v>
      </c>
      <c r="B94" s="43" t="s">
        <v>658</v>
      </c>
      <c r="C94" s="40"/>
      <c r="D94" s="40">
        <v>158500</v>
      </c>
      <c r="E94" s="40"/>
      <c r="F94" s="40">
        <f>C94+D94+E94</f>
        <v>158500</v>
      </c>
    </row>
    <row r="95" spans="1:6" ht="15" customHeight="1">
      <c r="A95" s="38">
        <v>3</v>
      </c>
      <c r="B95" s="38" t="s">
        <v>473</v>
      </c>
      <c r="C95" s="39"/>
      <c r="D95" s="39">
        <f>D96+D116</f>
        <v>5112920</v>
      </c>
      <c r="E95" s="40"/>
      <c r="F95" s="39">
        <f t="shared" si="10" ref="F95:F97">=D95</f>
        <v>5112920</v>
      </c>
    </row>
    <row r="96" spans="1:6" ht="30" customHeight="1">
      <c r="A96" s="38" t="s">
        <v>474</v>
      </c>
      <c r="B96" s="26" t="s">
        <v>475</v>
      </c>
      <c r="C96" s="39"/>
      <c r="D96" s="39">
        <f>D97+D98+D99+D104</f>
        <v>4508265</v>
      </c>
      <c r="E96" s="40"/>
      <c r="F96" s="39">
        <f t="shared" si="10"/>
        <v>4508265</v>
      </c>
    </row>
    <row r="97" spans="1:6" s="44" customFormat="1" ht="15" customHeight="1">
      <c r="A97" s="38" t="s">
        <v>476</v>
      </c>
      <c r="B97" s="38" t="s">
        <v>477</v>
      </c>
      <c r="C97" s="39"/>
      <c r="D97" s="39">
        <v>145040</v>
      </c>
      <c r="E97" s="39"/>
      <c r="F97" s="39">
        <f t="shared" si="10"/>
        <v>145040</v>
      </c>
    </row>
    <row r="98" spans="1:6" s="44" customFormat="1" ht="30" customHeight="1">
      <c r="A98" s="38" t="s">
        <v>478</v>
      </c>
      <c r="B98" s="26" t="s">
        <v>479</v>
      </c>
      <c r="C98" s="39"/>
      <c r="D98" s="39">
        <v>1140</v>
      </c>
      <c r="E98" s="39"/>
      <c r="F98" s="39">
        <f t="shared" si="11" ref="F98">=D98</f>
        <v>1140</v>
      </c>
    </row>
    <row r="99" spans="1:6" s="44" customFormat="1" ht="15" customHeight="1">
      <c r="A99" s="38" t="s">
        <v>480</v>
      </c>
      <c r="B99" s="38" t="s">
        <v>481</v>
      </c>
      <c r="C99" s="39"/>
      <c r="D99" s="39">
        <f>D100+D101+D102+D103</f>
        <v>577925</v>
      </c>
      <c r="E99" s="39"/>
      <c r="F99" s="39">
        <f t="shared" si="12" ref="F99:F100">=D99</f>
        <v>577925</v>
      </c>
    </row>
    <row r="100" spans="1:6" ht="15" customHeight="1">
      <c r="A100" s="27" t="s">
        <v>482</v>
      </c>
      <c r="B100" s="43" t="s">
        <v>601</v>
      </c>
      <c r="C100" s="40"/>
      <c r="D100" s="40">
        <v>184956</v>
      </c>
      <c r="E100" s="40"/>
      <c r="F100" s="40">
        <f t="shared" si="12"/>
        <v>184956</v>
      </c>
    </row>
    <row r="101" spans="1:6" ht="15" customHeight="1">
      <c r="A101" s="27" t="s">
        <v>483</v>
      </c>
      <c r="B101" s="27" t="s">
        <v>484</v>
      </c>
      <c r="C101" s="40"/>
      <c r="D101" s="40">
        <v>1221</v>
      </c>
      <c r="E101" s="40"/>
      <c r="F101" s="40">
        <f t="shared" si="13" ref="F101">=D101</f>
        <v>1221</v>
      </c>
    </row>
    <row r="102" spans="1:6" ht="15" customHeight="1">
      <c r="A102" s="27" t="s">
        <v>485</v>
      </c>
      <c r="B102" s="27" t="s">
        <v>486</v>
      </c>
      <c r="C102" s="40"/>
      <c r="D102" s="40">
        <f>325997+1287</f>
        <v>327284</v>
      </c>
      <c r="E102" s="40"/>
      <c r="F102" s="40">
        <f t="shared" si="14" ref="F102:F103">=D102</f>
        <v>327284</v>
      </c>
    </row>
    <row r="103" spans="1:6" ht="15" customHeight="1">
      <c r="A103" s="27" t="s">
        <v>487</v>
      </c>
      <c r="B103" s="27" t="s">
        <v>488</v>
      </c>
      <c r="C103" s="40"/>
      <c r="D103" s="40">
        <v>64464</v>
      </c>
      <c r="E103" s="40"/>
      <c r="F103" s="40">
        <f t="shared" si="14"/>
        <v>64464</v>
      </c>
    </row>
    <row r="104" spans="1:6" ht="30" customHeight="1">
      <c r="A104" s="38" t="s">
        <v>489</v>
      </c>
      <c r="B104" s="26" t="s">
        <v>490</v>
      </c>
      <c r="C104" s="39"/>
      <c r="D104" s="39">
        <f>D105+D106+D107+D108+D111</f>
        <v>3784160</v>
      </c>
      <c r="E104" s="40"/>
      <c r="F104" s="39">
        <f t="shared" si="15" ref="F104:F105">=D104</f>
        <v>3784160</v>
      </c>
    </row>
    <row r="105" spans="1:6" ht="30" customHeight="1">
      <c r="A105" s="27" t="s">
        <v>491</v>
      </c>
      <c r="B105" s="43" t="s">
        <v>492</v>
      </c>
      <c r="C105" s="40"/>
      <c r="D105" s="40">
        <v>1451705</v>
      </c>
      <c r="E105" s="40"/>
      <c r="F105" s="40">
        <f t="shared" si="15"/>
        <v>1451705</v>
      </c>
    </row>
    <row r="106" spans="1:6" ht="30" customHeight="1">
      <c r="A106" s="27" t="s">
        <v>493</v>
      </c>
      <c r="B106" s="43" t="s">
        <v>494</v>
      </c>
      <c r="C106" s="40"/>
      <c r="D106" s="40">
        <v>451</v>
      </c>
      <c r="E106" s="40"/>
      <c r="F106" s="40">
        <f t="shared" si="16" ref="F106">=D106</f>
        <v>451</v>
      </c>
    </row>
    <row r="107" spans="1:6" ht="15" customHeight="1">
      <c r="A107" s="27" t="s">
        <v>495</v>
      </c>
      <c r="B107" s="27" t="s">
        <v>496</v>
      </c>
      <c r="C107" s="40"/>
      <c r="D107" s="40">
        <v>110992</v>
      </c>
      <c r="E107" s="40"/>
      <c r="F107" s="40">
        <f t="shared" si="17" ref="F107">=D107</f>
        <v>110992</v>
      </c>
    </row>
    <row r="108" spans="1:6" ht="30" customHeight="1">
      <c r="A108" s="27" t="s">
        <v>497</v>
      </c>
      <c r="B108" s="43" t="s">
        <v>498</v>
      </c>
      <c r="C108" s="40"/>
      <c r="D108" s="40">
        <f>D109+D110</f>
        <v>1909133</v>
      </c>
      <c r="E108" s="40"/>
      <c r="F108" s="40">
        <f>D108</f>
        <v>1909133</v>
      </c>
    </row>
    <row r="109" spans="1:6" ht="15" customHeight="1">
      <c r="A109" s="27" t="s">
        <v>499</v>
      </c>
      <c r="B109" s="43" t="s">
        <v>659</v>
      </c>
      <c r="C109" s="40"/>
      <c r="D109" s="40">
        <v>1299146</v>
      </c>
      <c r="E109" s="40"/>
      <c r="F109" s="40">
        <f>D109</f>
        <v>1299146</v>
      </c>
    </row>
    <row r="110" spans="1:6" ht="15" customHeight="1">
      <c r="A110" s="27" t="s">
        <v>500</v>
      </c>
      <c r="B110" s="27" t="s">
        <v>501</v>
      </c>
      <c r="C110" s="40"/>
      <c r="D110" s="40">
        <v>609987</v>
      </c>
      <c r="E110" s="40"/>
      <c r="F110" s="40">
        <f t="shared" si="18" ref="F110:F111">=D110</f>
        <v>609987</v>
      </c>
    </row>
    <row r="111" spans="1:6" ht="15" customHeight="1">
      <c r="A111" s="27" t="s">
        <v>502</v>
      </c>
      <c r="B111" s="43" t="s">
        <v>503</v>
      </c>
      <c r="C111" s="40"/>
      <c r="D111" s="40">
        <f>D112+D113+D114+D115</f>
        <v>311879</v>
      </c>
      <c r="E111" s="40"/>
      <c r="F111" s="40">
        <f t="shared" si="18"/>
        <v>311879</v>
      </c>
    </row>
    <row r="112" spans="1:6" ht="15" customHeight="1">
      <c r="A112" s="27" t="s">
        <v>504</v>
      </c>
      <c r="B112" s="43" t="s">
        <v>505</v>
      </c>
      <c r="C112" s="40"/>
      <c r="D112" s="40">
        <v>14255</v>
      </c>
      <c r="E112" s="40"/>
      <c r="F112" s="40">
        <f t="shared" si="19" ref="F112">=D112</f>
        <v>14255</v>
      </c>
    </row>
    <row r="113" spans="1:6" ht="15" customHeight="1">
      <c r="A113" s="27" t="s">
        <v>506</v>
      </c>
      <c r="B113" s="43" t="s">
        <v>507</v>
      </c>
      <c r="C113" s="40"/>
      <c r="D113" s="40">
        <v>82800</v>
      </c>
      <c r="E113" s="40"/>
      <c r="F113" s="40">
        <f>D113</f>
        <v>82800</v>
      </c>
    </row>
    <row r="114" spans="1:6" ht="15" customHeight="1">
      <c r="A114" s="27" t="s">
        <v>508</v>
      </c>
      <c r="B114" s="27" t="s">
        <v>509</v>
      </c>
      <c r="C114" s="40"/>
      <c r="D114" s="40">
        <v>168515</v>
      </c>
      <c r="E114" s="40"/>
      <c r="F114" s="40">
        <f>D114</f>
        <v>168515</v>
      </c>
    </row>
    <row r="115" spans="1:6" ht="15" customHeight="1">
      <c r="A115" s="27" t="s">
        <v>510</v>
      </c>
      <c r="B115" s="27" t="s">
        <v>511</v>
      </c>
      <c r="C115" s="40"/>
      <c r="D115" s="40">
        <v>46309</v>
      </c>
      <c r="E115" s="40"/>
      <c r="F115" s="40">
        <f>D115</f>
        <v>46309</v>
      </c>
    </row>
    <row r="116" spans="1:6" ht="45" customHeight="1">
      <c r="A116" s="38" t="s">
        <v>512</v>
      </c>
      <c r="B116" s="26" t="s">
        <v>513</v>
      </c>
      <c r="C116" s="39"/>
      <c r="D116" s="39">
        <f>D117+D118</f>
        <v>604655</v>
      </c>
      <c r="E116" s="40"/>
      <c r="F116" s="39">
        <f t="shared" si="20" ref="F116:F117">=D116</f>
        <v>604655</v>
      </c>
    </row>
    <row r="117" spans="1:6" ht="30" customHeight="1">
      <c r="A117" s="27" t="s">
        <v>514</v>
      </c>
      <c r="B117" s="43" t="s">
        <v>515</v>
      </c>
      <c r="C117" s="40"/>
      <c r="D117" s="40">
        <v>5100</v>
      </c>
      <c r="E117" s="40"/>
      <c r="F117" s="40">
        <f t="shared" si="20"/>
        <v>5100</v>
      </c>
    </row>
    <row r="118" spans="1:6" ht="15" customHeight="1">
      <c r="A118" s="27" t="s">
        <v>516</v>
      </c>
      <c r="B118" s="27" t="s">
        <v>517</v>
      </c>
      <c r="C118" s="40"/>
      <c r="D118" s="40">
        <v>599555</v>
      </c>
      <c r="E118" s="40"/>
      <c r="F118" s="40">
        <f>D118</f>
        <v>599555</v>
      </c>
    </row>
    <row r="120" spans="2:3" s="5" customFormat="1" ht="15.75">
      <c r="B120" s="6" t="s">
        <v>327</v>
      </c>
      <c r="C120" s="6"/>
    </row>
  </sheetData>
  <mergeCells count="5">
    <mergeCell ref="A9:F9"/>
    <mergeCell ref="A11:A12"/>
    <mergeCell ref="B11:B12"/>
    <mergeCell ref="C11:E11"/>
    <mergeCell ref="F11:F12"/>
  </mergeCells>
  <pageMargins left="0.7" right="0.7" top="0.75" bottom="0.75" header="0.3" footer="0.3"/>
  <pageSetup orientation="portrait" paperSize="9" scale="6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5AD64-C4CB-4798-B763-CCF7C1CC3908}">
  <dimension ref="A1:J337"/>
  <sheetViews>
    <sheetView workbookViewId="0" topLeftCell="A331">
      <selection pane="topLeft" activeCell="J10" sqref="J10"/>
    </sheetView>
  </sheetViews>
  <sheetFormatPr defaultRowHeight="15.75"/>
  <cols>
    <col min="1" max="1" width="15.428571428571429" style="30" customWidth="1"/>
    <col min="2" max="2" width="34.714285714285715" style="30" customWidth="1"/>
    <col min="3" max="3" width="17.428571428571427" style="5" customWidth="1"/>
    <col min="4" max="4" width="17.428571428571427" style="30" customWidth="1"/>
    <col min="5" max="5" width="15.714285714285714" style="30" customWidth="1"/>
    <col min="6" max="6" width="17.428571428571427" style="30" customWidth="1"/>
    <col min="7" max="7" width="16.857142857142858" style="30" customWidth="1"/>
    <col min="8" max="8" width="17.714285714285715" style="30" customWidth="1"/>
    <col min="9" max="9" width="9.857142857142858" style="30" bestFit="1" customWidth="1"/>
    <col min="10" max="16384" width="9.142857142857142" style="30"/>
  </cols>
  <sheetData>
    <row r="1" spans="1:7" ht="15" customHeight="1">
      <c r="A1" s="6"/>
      <c r="B1" s="6"/>
      <c r="C1" s="6"/>
      <c r="D1" s="7"/>
      <c r="E1" s="7"/>
      <c r="F1" s="6"/>
      <c r="G1" s="7"/>
    </row>
    <row r="2" spans="1:8" ht="15" customHeight="1">
      <c r="A2" s="6"/>
      <c r="B2" s="6"/>
      <c r="C2" s="6"/>
      <c r="D2" s="8"/>
      <c r="E2" s="8"/>
      <c r="F2" s="6"/>
      <c r="G2" s="8"/>
      <c r="H2" s="7" t="s">
        <v>258</v>
      </c>
    </row>
    <row r="3" spans="1:8" ht="15" customHeight="1">
      <c r="A3" s="6"/>
      <c r="B3" s="6"/>
      <c r="C3" s="6"/>
      <c r="D3" s="8"/>
      <c r="E3" s="8"/>
      <c r="F3" s="6"/>
      <c r="G3" s="8"/>
      <c r="H3" s="8" t="s">
        <v>629</v>
      </c>
    </row>
    <row r="4" spans="1:8" ht="15" customHeight="1">
      <c r="A4" s="6"/>
      <c r="B4" s="6"/>
      <c r="C4" s="6"/>
      <c r="D4" s="6"/>
      <c r="E4" s="6"/>
      <c r="F4" s="6"/>
      <c r="G4" s="6"/>
      <c r="H4" s="8" t="s">
        <v>668</v>
      </c>
    </row>
    <row r="5" spans="1:8" ht="15" customHeight="1">
      <c r="A5" s="6"/>
      <c r="B5" s="6"/>
      <c r="C5" s="6"/>
      <c r="D5" s="6"/>
      <c r="E5" s="6"/>
      <c r="F5" s="6"/>
      <c r="G5" s="6"/>
      <c r="H5" s="8" t="s">
        <v>240</v>
      </c>
    </row>
    <row r="6" spans="1:8" ht="15" customHeight="1">
      <c r="A6" s="6"/>
      <c r="B6" s="114"/>
      <c r="C6" s="114"/>
      <c r="D6" s="114"/>
      <c r="E6" s="114"/>
      <c r="F6" s="114"/>
      <c r="G6" s="114"/>
      <c r="H6" s="6"/>
    </row>
    <row r="7" spans="1:8" ht="15" customHeight="1">
      <c r="A7" s="6"/>
      <c r="B7" s="110" t="s">
        <v>328</v>
      </c>
      <c r="C7" s="110"/>
      <c r="D7" s="110"/>
      <c r="E7" s="110"/>
      <c r="F7" s="110"/>
      <c r="G7" s="110"/>
      <c r="H7" s="6"/>
    </row>
    <row r="8" spans="1:8" ht="15" customHeight="1">
      <c r="A8" s="6"/>
      <c r="B8" s="4"/>
      <c r="C8" s="4"/>
      <c r="D8" s="55"/>
      <c r="E8" s="55"/>
      <c r="F8" s="55"/>
      <c r="G8" s="55"/>
      <c r="H8" s="56"/>
    </row>
    <row r="9" spans="1:8" ht="15" customHeight="1">
      <c r="A9" s="113" t="s">
        <v>259</v>
      </c>
      <c r="B9" s="113" t="s">
        <v>260</v>
      </c>
      <c r="C9" s="2"/>
      <c r="D9" s="115" t="s">
        <v>261</v>
      </c>
      <c r="E9" s="115"/>
      <c r="F9" s="115"/>
      <c r="G9" s="115"/>
      <c r="H9" s="112" t="s">
        <v>262</v>
      </c>
    </row>
    <row r="10" spans="1:8" ht="45" customHeight="1">
      <c r="A10" s="113"/>
      <c r="B10" s="113"/>
      <c r="C10" s="3" t="s">
        <v>591</v>
      </c>
      <c r="D10" s="3" t="s">
        <v>263</v>
      </c>
      <c r="E10" s="3" t="s">
        <v>264</v>
      </c>
      <c r="F10" s="3" t="s">
        <v>265</v>
      </c>
      <c r="G10" s="3" t="s">
        <v>266</v>
      </c>
      <c r="H10" s="112"/>
    </row>
    <row r="11" spans="1:9" ht="15" customHeight="1">
      <c r="A11" s="2"/>
      <c r="B11" s="2"/>
      <c r="C11" s="57">
        <f t="shared" si="0" ref="C11:H11">=C12+C44+C48+C107+C175+C190+C241+C313+C86</f>
        <v>1068637</v>
      </c>
      <c r="D11" s="57">
        <f t="shared" si="0"/>
        <v>19573252.043478262</v>
      </c>
      <c r="E11" s="57">
        <f t="shared" si="0"/>
        <v>4195457</v>
      </c>
      <c r="F11" s="57">
        <f t="shared" si="0"/>
        <v>8462135</v>
      </c>
      <c r="G11" s="57">
        <f t="shared" si="0"/>
        <v>3499040.9565217393</v>
      </c>
      <c r="H11" s="24">
        <f t="shared" si="0"/>
        <v>36798522</v>
      </c>
      <c r="I11" s="62"/>
    </row>
    <row r="12" spans="1:8" ht="15" customHeight="1">
      <c r="A12" s="1" t="s">
        <v>267</v>
      </c>
      <c r="B12" s="38" t="s">
        <v>268</v>
      </c>
      <c r="C12" s="39">
        <f t="shared" si="1" ref="C12:H12">=SUM(C13:C43)</f>
        <v>0</v>
      </c>
      <c r="D12" s="39">
        <f t="shared" si="1"/>
        <v>3548139.4347826089</v>
      </c>
      <c r="E12" s="39">
        <f t="shared" si="1"/>
        <v>19819</v>
      </c>
      <c r="F12" s="39">
        <f>SUM(F13:F43)</f>
        <v>41187</v>
      </c>
      <c r="G12" s="39">
        <f t="shared" si="1"/>
        <v>785628.56521739135</v>
      </c>
      <c r="H12" s="24">
        <f t="shared" si="1"/>
        <v>4394774</v>
      </c>
    </row>
    <row r="13" spans="1:8" ht="15" customHeight="1">
      <c r="A13" s="49"/>
      <c r="B13" s="27" t="s">
        <v>1</v>
      </c>
      <c r="C13" s="58"/>
      <c r="D13" s="40">
        <f>H13-E13-G13-F13-C13</f>
        <v>1584888</v>
      </c>
      <c r="E13" s="40"/>
      <c r="F13" s="40"/>
      <c r="G13" s="40"/>
      <c r="H13" s="24">
        <f>'4.pielikums'!B12</f>
        <v>1584888</v>
      </c>
    </row>
    <row r="14" spans="1:8" ht="15" customHeight="1">
      <c r="A14" s="49"/>
      <c r="B14" s="27" t="s">
        <v>2</v>
      </c>
      <c r="C14" s="58"/>
      <c r="D14" s="40">
        <f t="shared" si="2" ref="D14:D77">=H14-E14-G14-F14-C14</f>
        <v>155358</v>
      </c>
      <c r="E14" s="40"/>
      <c r="F14" s="40"/>
      <c r="G14" s="40"/>
      <c r="H14" s="24">
        <f>'4.pielikums'!B13</f>
        <v>155358</v>
      </c>
    </row>
    <row r="15" spans="1:8" ht="30" customHeight="1">
      <c r="A15" s="49"/>
      <c r="B15" s="43" t="s">
        <v>172</v>
      </c>
      <c r="C15" s="48"/>
      <c r="D15" s="40">
        <f t="shared" si="2"/>
        <v>250642</v>
      </c>
      <c r="E15" s="40"/>
      <c r="F15" s="40"/>
      <c r="G15" s="40"/>
      <c r="H15" s="24">
        <f>'4.pielikums'!B14</f>
        <v>250642</v>
      </c>
    </row>
    <row r="16" spans="1:8" ht="15" customHeight="1">
      <c r="A16" s="49"/>
      <c r="B16" s="43" t="s">
        <v>205</v>
      </c>
      <c r="C16" s="48"/>
      <c r="D16" s="40">
        <f t="shared" si="2"/>
        <v>34578</v>
      </c>
      <c r="E16" s="40"/>
      <c r="F16" s="40"/>
      <c r="G16" s="40"/>
      <c r="H16" s="24">
        <f>'4.pielikums'!B15</f>
        <v>34578</v>
      </c>
    </row>
    <row r="17" spans="1:8" ht="15" customHeight="1">
      <c r="A17" s="49"/>
      <c r="B17" s="43" t="s">
        <v>198</v>
      </c>
      <c r="C17" s="48"/>
      <c r="D17" s="40">
        <f>H17-E17-G17-F17-C17</f>
        <v>113058.4347826087</v>
      </c>
      <c r="E17" s="40"/>
      <c r="F17" s="40"/>
      <c r="G17" s="40">
        <f>380374/1.15+125821/1.15</f>
        <v>440169.5652173913</v>
      </c>
      <c r="H17" s="24">
        <f>'4.pielikums'!B16</f>
        <v>553228</v>
      </c>
    </row>
    <row r="18" spans="1:8" ht="15" customHeight="1">
      <c r="A18" s="49"/>
      <c r="B18" s="27" t="s">
        <v>3</v>
      </c>
      <c r="C18" s="58"/>
      <c r="D18" s="40">
        <f t="shared" si="2"/>
        <v>34564</v>
      </c>
      <c r="E18" s="40"/>
      <c r="F18" s="40"/>
      <c r="G18" s="40"/>
      <c r="H18" s="24">
        <f>'4.pielikums'!B17</f>
        <v>34564</v>
      </c>
    </row>
    <row r="19" spans="1:8" ht="15" customHeight="1">
      <c r="A19" s="49"/>
      <c r="B19" s="27" t="s">
        <v>91</v>
      </c>
      <c r="C19" s="58"/>
      <c r="D19" s="40">
        <f t="shared" si="2"/>
        <v>73892</v>
      </c>
      <c r="E19" s="40">
        <f>674+239</f>
        <v>913</v>
      </c>
      <c r="F19" s="40"/>
      <c r="G19" s="40"/>
      <c r="H19" s="24">
        <f>'4.pielikums'!B18</f>
        <v>74805</v>
      </c>
    </row>
    <row r="20" spans="1:8" ht="15" customHeight="1">
      <c r="A20" s="49"/>
      <c r="B20" s="27" t="s">
        <v>4</v>
      </c>
      <c r="C20" s="58"/>
      <c r="D20" s="40">
        <f t="shared" si="2"/>
        <v>34798</v>
      </c>
      <c r="E20" s="40"/>
      <c r="F20" s="40"/>
      <c r="G20" s="40"/>
      <c r="H20" s="24">
        <f>'4.pielikums'!B19</f>
        <v>34798</v>
      </c>
    </row>
    <row r="21" spans="1:8" ht="15" customHeight="1">
      <c r="A21" s="49"/>
      <c r="B21" s="27" t="s">
        <v>5</v>
      </c>
      <c r="C21" s="58"/>
      <c r="D21" s="40">
        <f t="shared" si="2"/>
        <v>47875</v>
      </c>
      <c r="E21" s="40">
        <f>340+1380</f>
        <v>1720</v>
      </c>
      <c r="F21" s="40"/>
      <c r="G21" s="40"/>
      <c r="H21" s="24">
        <f>'4.pielikums'!B20</f>
        <v>49595</v>
      </c>
    </row>
    <row r="22" spans="1:8" ht="15" customHeight="1">
      <c r="A22" s="49"/>
      <c r="B22" s="27" t="s">
        <v>6</v>
      </c>
      <c r="C22" s="58"/>
      <c r="D22" s="40">
        <f t="shared" si="2"/>
        <v>40318</v>
      </c>
      <c r="E22" s="40"/>
      <c r="F22" s="40"/>
      <c r="G22" s="40"/>
      <c r="H22" s="24">
        <f>'4.pielikums'!B21</f>
        <v>40318</v>
      </c>
    </row>
    <row r="23" spans="1:8" ht="15" customHeight="1">
      <c r="A23" s="49"/>
      <c r="B23" s="27" t="s">
        <v>7</v>
      </c>
      <c r="C23" s="58"/>
      <c r="D23" s="40">
        <f t="shared" si="2"/>
        <v>39911</v>
      </c>
      <c r="E23" s="40">
        <f>85</f>
        <v>85</v>
      </c>
      <c r="F23" s="40"/>
      <c r="G23" s="40"/>
      <c r="H23" s="24">
        <f>'4.pielikums'!B22</f>
        <v>39996</v>
      </c>
    </row>
    <row r="24" spans="1:8" ht="15" customHeight="1">
      <c r="A24" s="49"/>
      <c r="B24" s="27" t="s">
        <v>8</v>
      </c>
      <c r="C24" s="58"/>
      <c r="D24" s="40">
        <f t="shared" si="2"/>
        <v>43428</v>
      </c>
      <c r="E24" s="40">
        <f>12</f>
        <v>12</v>
      </c>
      <c r="F24" s="40"/>
      <c r="G24" s="40"/>
      <c r="H24" s="24">
        <f>'4.pielikums'!B23</f>
        <v>43440</v>
      </c>
    </row>
    <row r="25" spans="1:8" ht="15" customHeight="1">
      <c r="A25" s="49"/>
      <c r="B25" s="27" t="s">
        <v>92</v>
      </c>
      <c r="C25" s="58"/>
      <c r="D25" s="40">
        <f t="shared" si="2"/>
        <v>35296</v>
      </c>
      <c r="E25" s="40">
        <f>150</f>
        <v>150</v>
      </c>
      <c r="F25" s="40"/>
      <c r="G25" s="40"/>
      <c r="H25" s="24">
        <f>'4.pielikums'!B24</f>
        <v>35446</v>
      </c>
    </row>
    <row r="26" spans="1:8" ht="15" customHeight="1">
      <c r="A26" s="49"/>
      <c r="B26" s="27" t="s">
        <v>127</v>
      </c>
      <c r="C26" s="58"/>
      <c r="D26" s="40">
        <f t="shared" si="2"/>
        <v>36877</v>
      </c>
      <c r="E26" s="40"/>
      <c r="F26" s="40"/>
      <c r="G26" s="40"/>
      <c r="H26" s="24">
        <f>'4.pielikums'!B25</f>
        <v>36877</v>
      </c>
    </row>
    <row r="27" spans="1:8" ht="15" customHeight="1">
      <c r="A27" s="49"/>
      <c r="B27" s="27" t="s">
        <v>9</v>
      </c>
      <c r="C27" s="58"/>
      <c r="D27" s="40">
        <f t="shared" si="2"/>
        <v>23494</v>
      </c>
      <c r="E27" s="40"/>
      <c r="F27" s="40"/>
      <c r="G27" s="40"/>
      <c r="H27" s="24">
        <f>'4.pielikums'!B26</f>
        <v>23494</v>
      </c>
    </row>
    <row r="28" spans="1:8" ht="15" customHeight="1">
      <c r="A28" s="49"/>
      <c r="B28" s="43" t="s">
        <v>93</v>
      </c>
      <c r="C28" s="48"/>
      <c r="D28" s="40">
        <f t="shared" si="2"/>
        <v>42551</v>
      </c>
      <c r="E28" s="40"/>
      <c r="F28" s="40"/>
      <c r="G28" s="40"/>
      <c r="H28" s="24">
        <f>'4.pielikums'!B27</f>
        <v>42551</v>
      </c>
    </row>
    <row r="29" spans="1:8" ht="15" customHeight="1">
      <c r="A29" s="49"/>
      <c r="B29" s="43" t="s">
        <v>269</v>
      </c>
      <c r="C29" s="48"/>
      <c r="D29" s="40">
        <f t="shared" si="2"/>
        <v>48643</v>
      </c>
      <c r="E29" s="40">
        <f>1400</f>
        <v>1400</v>
      </c>
      <c r="F29" s="40"/>
      <c r="G29" s="40"/>
      <c r="H29" s="24">
        <f>'4.pielikums'!B28</f>
        <v>50043</v>
      </c>
    </row>
    <row r="30" spans="1:8" ht="15" customHeight="1">
      <c r="A30" s="49"/>
      <c r="B30" s="43" t="s">
        <v>94</v>
      </c>
      <c r="C30" s="48"/>
      <c r="D30" s="40">
        <f t="shared" si="2"/>
        <v>20658</v>
      </c>
      <c r="E30" s="40"/>
      <c r="F30" s="40"/>
      <c r="G30" s="40"/>
      <c r="H30" s="24">
        <f>'4.pielikums'!B29</f>
        <v>20658</v>
      </c>
    </row>
    <row r="31" spans="1:8" ht="15" customHeight="1">
      <c r="A31" s="49"/>
      <c r="B31" s="43" t="s">
        <v>95</v>
      </c>
      <c r="C31" s="48"/>
      <c r="D31" s="40">
        <f t="shared" si="2"/>
        <v>48906</v>
      </c>
      <c r="E31" s="40"/>
      <c r="F31" s="40"/>
      <c r="G31" s="40"/>
      <c r="H31" s="24">
        <f>'4.pielikums'!B30</f>
        <v>48906</v>
      </c>
    </row>
    <row r="32" spans="1:8" ht="15" customHeight="1">
      <c r="A32" s="49"/>
      <c r="B32" s="27" t="s">
        <v>10</v>
      </c>
      <c r="C32" s="58"/>
      <c r="D32" s="40">
        <f t="shared" si="2"/>
        <v>43553</v>
      </c>
      <c r="E32" s="40">
        <f>500</f>
        <v>500</v>
      </c>
      <c r="F32" s="40"/>
      <c r="G32" s="40"/>
      <c r="H32" s="24">
        <f>'4.pielikums'!B31</f>
        <v>44053</v>
      </c>
    </row>
    <row r="33" spans="1:8" ht="15" customHeight="1">
      <c r="A33" s="49"/>
      <c r="B33" s="27" t="s">
        <v>11</v>
      </c>
      <c r="C33" s="58"/>
      <c r="D33" s="40">
        <f t="shared" si="2"/>
        <v>34012</v>
      </c>
      <c r="E33" s="40"/>
      <c r="F33" s="40"/>
      <c r="G33" s="40"/>
      <c r="H33" s="24">
        <f>'4.pielikums'!B32</f>
        <v>34012</v>
      </c>
    </row>
    <row r="34" spans="1:8" ht="15" customHeight="1">
      <c r="A34" s="49"/>
      <c r="B34" s="27" t="s">
        <v>96</v>
      </c>
      <c r="C34" s="58"/>
      <c r="D34" s="40">
        <f t="shared" si="2"/>
        <v>34090</v>
      </c>
      <c r="E34" s="40"/>
      <c r="F34" s="40"/>
      <c r="G34" s="40"/>
      <c r="H34" s="24">
        <f>'4.pielikums'!B33</f>
        <v>34090</v>
      </c>
    </row>
    <row r="35" spans="1:8" ht="15" customHeight="1">
      <c r="A35" s="49"/>
      <c r="B35" s="27" t="s">
        <v>12</v>
      </c>
      <c r="C35" s="58"/>
      <c r="D35" s="40">
        <f t="shared" si="2"/>
        <v>39126</v>
      </c>
      <c r="E35" s="40">
        <f>67</f>
        <v>67</v>
      </c>
      <c r="F35" s="40"/>
      <c r="G35" s="40"/>
      <c r="H35" s="24">
        <f>'4.pielikums'!B34</f>
        <v>39193</v>
      </c>
    </row>
    <row r="36" spans="1:8" ht="15" customHeight="1">
      <c r="A36" s="49"/>
      <c r="B36" s="43" t="s">
        <v>89</v>
      </c>
      <c r="C36" s="48"/>
      <c r="D36" s="40">
        <f t="shared" si="2"/>
        <v>71616</v>
      </c>
      <c r="E36" s="40">
        <f>3693+2629</f>
        <v>6322</v>
      </c>
      <c r="F36" s="40"/>
      <c r="G36" s="40"/>
      <c r="H36" s="24">
        <f>'4.pielikums'!B35</f>
        <v>77938</v>
      </c>
    </row>
    <row r="37" spans="1:8" ht="15" customHeight="1">
      <c r="A37" s="49"/>
      <c r="B37" s="43" t="s">
        <v>97</v>
      </c>
      <c r="C37" s="48"/>
      <c r="D37" s="40">
        <f t="shared" si="2"/>
        <v>37510</v>
      </c>
      <c r="E37" s="40"/>
      <c r="F37" s="40"/>
      <c r="G37" s="40"/>
      <c r="H37" s="24">
        <f>'4.pielikums'!B36</f>
        <v>37510</v>
      </c>
    </row>
    <row r="38" spans="1:8" ht="30" customHeight="1">
      <c r="A38" s="49"/>
      <c r="B38" s="19" t="s">
        <v>231</v>
      </c>
      <c r="C38" s="48"/>
      <c r="D38" s="40">
        <f>H38-E38-G38-F38-C38</f>
        <v>491</v>
      </c>
      <c r="E38" s="40"/>
      <c r="F38" s="40">
        <v>7207</v>
      </c>
      <c r="G38" s="40">
        <v>345459</v>
      </c>
      <c r="H38" s="24">
        <f>'4.pielikums'!B312</f>
        <v>353157</v>
      </c>
    </row>
    <row r="39" spans="1:8" ht="30" customHeight="1">
      <c r="A39" s="49"/>
      <c r="B39" s="43" t="s">
        <v>90</v>
      </c>
      <c r="C39" s="48"/>
      <c r="D39" s="40">
        <f t="shared" si="2"/>
        <v>59658</v>
      </c>
      <c r="E39" s="40">
        <f>4350+4300</f>
        <v>8650</v>
      </c>
      <c r="F39" s="40">
        <v>33980</v>
      </c>
      <c r="G39" s="40"/>
      <c r="H39" s="24">
        <f>'4.pielikums'!B37</f>
        <v>102288</v>
      </c>
    </row>
    <row r="40" spans="1:8" ht="30" customHeight="1">
      <c r="A40" s="49"/>
      <c r="B40" s="43" t="s">
        <v>175</v>
      </c>
      <c r="C40" s="48"/>
      <c r="D40" s="40">
        <f t="shared" si="2"/>
        <v>441606</v>
      </c>
      <c r="E40" s="40"/>
      <c r="F40" s="40"/>
      <c r="G40" s="40"/>
      <c r="H40" s="24">
        <f>'4.pielikums'!B40</f>
        <v>441606</v>
      </c>
    </row>
    <row r="41" spans="1:8" ht="15" customHeight="1">
      <c r="A41" s="49"/>
      <c r="B41" s="43" t="s">
        <v>13</v>
      </c>
      <c r="C41" s="48"/>
      <c r="D41" s="40">
        <f t="shared" si="2"/>
        <v>6000</v>
      </c>
      <c r="E41" s="40"/>
      <c r="F41" s="40"/>
      <c r="G41" s="40"/>
      <c r="H41" s="24">
        <f>'4.pielikums'!B38</f>
        <v>6000</v>
      </c>
    </row>
    <row r="42" spans="1:8" ht="15" customHeight="1">
      <c r="A42" s="49"/>
      <c r="B42" s="27" t="s">
        <v>14</v>
      </c>
      <c r="C42" s="58"/>
      <c r="D42" s="40">
        <f t="shared" si="2"/>
        <v>45250</v>
      </c>
      <c r="E42" s="40"/>
      <c r="F42" s="40"/>
      <c r="G42" s="40"/>
      <c r="H42" s="24">
        <f>'4.pielikums'!B39</f>
        <v>45250</v>
      </c>
    </row>
    <row r="43" spans="1:8" ht="15" customHeight="1">
      <c r="A43" s="49"/>
      <c r="B43" s="27" t="s">
        <v>254</v>
      </c>
      <c r="C43" s="58"/>
      <c r="D43" s="40">
        <f t="shared" si="2"/>
        <v>25492</v>
      </c>
      <c r="E43" s="40"/>
      <c r="F43" s="40"/>
      <c r="G43" s="40"/>
      <c r="H43" s="24">
        <f>'4.pielikums'!B41</f>
        <v>25492</v>
      </c>
    </row>
    <row r="44" spans="1:8" ht="15" customHeight="1">
      <c r="A44" s="1" t="s">
        <v>270</v>
      </c>
      <c r="B44" s="26" t="s">
        <v>271</v>
      </c>
      <c r="C44" s="39">
        <f t="shared" si="3" ref="C44:H44">=SUM(C45:C47)</f>
        <v>0</v>
      </c>
      <c r="D44" s="39">
        <f t="shared" si="3"/>
        <v>287638</v>
      </c>
      <c r="E44" s="39">
        <f t="shared" si="3"/>
        <v>24340</v>
      </c>
      <c r="F44" s="39">
        <f t="shared" si="3"/>
        <v>3690</v>
      </c>
      <c r="G44" s="39">
        <f t="shared" si="3"/>
        <v>0</v>
      </c>
      <c r="H44" s="24">
        <f t="shared" si="3"/>
        <v>315668</v>
      </c>
    </row>
    <row r="45" spans="1:8" ht="15" customHeight="1">
      <c r="A45" s="59"/>
      <c r="B45" s="27" t="s">
        <v>15</v>
      </c>
      <c r="C45" s="58"/>
      <c r="D45" s="40">
        <f t="shared" si="2"/>
        <v>81365</v>
      </c>
      <c r="E45" s="40">
        <f>1400+1140+1200</f>
        <v>3740</v>
      </c>
      <c r="F45" s="40"/>
      <c r="G45" s="40"/>
      <c r="H45" s="24">
        <f>'4.pielikums'!B42</f>
        <v>85105</v>
      </c>
    </row>
    <row r="46" spans="1:8" ht="15" customHeight="1">
      <c r="A46" s="49"/>
      <c r="B46" s="27" t="s">
        <v>16</v>
      </c>
      <c r="C46" s="58"/>
      <c r="D46" s="40">
        <f t="shared" si="2"/>
        <v>171542</v>
      </c>
      <c r="E46" s="40">
        <f>2000+100</f>
        <v>2100</v>
      </c>
      <c r="F46" s="40"/>
      <c r="G46" s="40"/>
      <c r="H46" s="24">
        <f>'4.pielikums'!B43</f>
        <v>173642</v>
      </c>
    </row>
    <row r="47" spans="1:8" ht="15" customHeight="1">
      <c r="A47" s="49"/>
      <c r="B47" s="27" t="s">
        <v>54</v>
      </c>
      <c r="C47" s="58"/>
      <c r="D47" s="40">
        <f t="shared" si="2"/>
        <v>34731</v>
      </c>
      <c r="E47" s="40">
        <f>18500</f>
        <v>18500</v>
      </c>
      <c r="F47" s="40">
        <v>3690</v>
      </c>
      <c r="G47" s="40"/>
      <c r="H47" s="24">
        <f>'4.pielikums'!B44</f>
        <v>56921</v>
      </c>
    </row>
    <row r="48" spans="1:8" ht="15" customHeight="1">
      <c r="A48" s="1" t="s">
        <v>272</v>
      </c>
      <c r="B48" s="38" t="s">
        <v>273</v>
      </c>
      <c r="C48" s="60">
        <f t="shared" si="4" ref="C48:H48">=SUM(C49:C85)</f>
        <v>323002</v>
      </c>
      <c r="D48" s="60">
        <f t="shared" si="4"/>
        <v>630125.6086956521</v>
      </c>
      <c r="E48" s="60">
        <f t="shared" si="4"/>
        <v>25750</v>
      </c>
      <c r="F48" s="60">
        <f t="shared" si="4"/>
        <v>1218990</v>
      </c>
      <c r="G48" s="60">
        <f t="shared" si="4"/>
        <v>765020.3913043479</v>
      </c>
      <c r="H48" s="24">
        <f t="shared" si="4"/>
        <v>2962888</v>
      </c>
    </row>
    <row r="49" spans="1:8" ht="15" customHeight="1">
      <c r="A49" s="49"/>
      <c r="B49" s="43" t="s">
        <v>274</v>
      </c>
      <c r="C49" s="48">
        <v>3381</v>
      </c>
      <c r="D49" s="40">
        <f t="shared" si="2"/>
        <v>425</v>
      </c>
      <c r="E49" s="39"/>
      <c r="F49" s="40">
        <v>172800</v>
      </c>
      <c r="G49" s="39"/>
      <c r="H49" s="24">
        <f>'4.pielikums'!B72</f>
        <v>176606</v>
      </c>
    </row>
    <row r="50" spans="1:8" ht="15" customHeight="1">
      <c r="A50" s="59"/>
      <c r="B50" s="27" t="s">
        <v>275</v>
      </c>
      <c r="C50" s="58"/>
      <c r="D50" s="40">
        <f t="shared" si="2"/>
        <v>65147</v>
      </c>
      <c r="E50" s="40">
        <f>10000</f>
        <v>10000</v>
      </c>
      <c r="F50" s="40"/>
      <c r="G50" s="40"/>
      <c r="H50" s="24">
        <f>'4.pielikums'!B45</f>
        <v>75147</v>
      </c>
    </row>
    <row r="51" spans="1:8" ht="30" customHeight="1">
      <c r="A51" s="49"/>
      <c r="B51" s="43" t="s">
        <v>276</v>
      </c>
      <c r="C51" s="48"/>
      <c r="D51" s="40">
        <f t="shared" si="2"/>
        <v>106988</v>
      </c>
      <c r="E51" s="40">
        <f>4000+3500+1000</f>
        <v>8500</v>
      </c>
      <c r="F51" s="40">
        <f>68495</f>
        <v>68495</v>
      </c>
      <c r="G51" s="40"/>
      <c r="H51" s="24">
        <f>'4.pielikums'!B48</f>
        <v>183983</v>
      </c>
    </row>
    <row r="52" spans="1:10" ht="15" customHeight="1">
      <c r="A52" s="61"/>
      <c r="B52" s="45" t="s">
        <v>63</v>
      </c>
      <c r="C52" s="48"/>
      <c r="D52" s="40">
        <f>H52-E52-G52-F52-C52</f>
        <v>0</v>
      </c>
      <c r="E52" s="40"/>
      <c r="F52" s="40">
        <v>117893</v>
      </c>
      <c r="G52" s="40"/>
      <c r="H52" s="24">
        <f>'4.pielikums'!B50</f>
        <v>117893</v>
      </c>
      <c r="J52" s="62"/>
    </row>
    <row r="53" spans="1:10" ht="30" customHeight="1">
      <c r="A53" s="61"/>
      <c r="B53" s="45" t="s">
        <v>214</v>
      </c>
      <c r="C53" s="48"/>
      <c r="D53" s="40">
        <f t="shared" si="2"/>
        <v>0</v>
      </c>
      <c r="E53" s="40"/>
      <c r="F53" s="40">
        <v>46305</v>
      </c>
      <c r="G53" s="40"/>
      <c r="H53" s="24">
        <f>'4.pielikums'!B51</f>
        <v>46305</v>
      </c>
      <c r="J53" s="62"/>
    </row>
    <row r="54" spans="1:10" ht="30" customHeight="1">
      <c r="A54" s="61"/>
      <c r="B54" s="45" t="s">
        <v>64</v>
      </c>
      <c r="C54" s="48">
        <v>10778</v>
      </c>
      <c r="D54" s="40">
        <f t="shared" si="2"/>
        <v>0</v>
      </c>
      <c r="E54" s="40"/>
      <c r="F54" s="40">
        <v>23910</v>
      </c>
      <c r="G54" s="40"/>
      <c r="H54" s="24">
        <f>'4.pielikums'!B52</f>
        <v>34688</v>
      </c>
      <c r="J54" s="62"/>
    </row>
    <row r="55" spans="1:8" ht="30" customHeight="1">
      <c r="A55" s="61"/>
      <c r="B55" s="45" t="s">
        <v>65</v>
      </c>
      <c r="C55" s="48"/>
      <c r="D55" s="40">
        <f t="shared" si="2"/>
        <v>0</v>
      </c>
      <c r="E55" s="40"/>
      <c r="F55" s="40">
        <v>19249</v>
      </c>
      <c r="G55" s="40"/>
      <c r="H55" s="24">
        <f>'4.pielikums'!B53</f>
        <v>19249</v>
      </c>
    </row>
    <row r="56" spans="1:8" ht="30" customHeight="1">
      <c r="A56" s="61"/>
      <c r="B56" s="45" t="s">
        <v>66</v>
      </c>
      <c r="C56" s="48">
        <v>14413</v>
      </c>
      <c r="D56" s="40">
        <f t="shared" si="2"/>
        <v>0</v>
      </c>
      <c r="E56" s="40"/>
      <c r="F56" s="40">
        <v>39620</v>
      </c>
      <c r="G56" s="40"/>
      <c r="H56" s="24">
        <f>'4.pielikums'!B54</f>
        <v>54033</v>
      </c>
    </row>
    <row r="57" spans="1:8" ht="30" customHeight="1">
      <c r="A57" s="61"/>
      <c r="B57" s="45" t="s">
        <v>67</v>
      </c>
      <c r="C57" s="48">
        <v>10723</v>
      </c>
      <c r="D57" s="40">
        <f t="shared" si="2"/>
        <v>0</v>
      </c>
      <c r="E57" s="40"/>
      <c r="F57" s="40">
        <v>21659</v>
      </c>
      <c r="G57" s="40"/>
      <c r="H57" s="24">
        <f>'4.pielikums'!B55</f>
        <v>32382</v>
      </c>
    </row>
    <row r="58" spans="1:8" ht="30" customHeight="1">
      <c r="A58" s="61"/>
      <c r="B58" s="45" t="s">
        <v>68</v>
      </c>
      <c r="C58" s="48">
        <v>14062</v>
      </c>
      <c r="D58" s="40">
        <f t="shared" si="2"/>
        <v>0</v>
      </c>
      <c r="E58" s="40"/>
      <c r="F58" s="40">
        <v>17112</v>
      </c>
      <c r="G58" s="40"/>
      <c r="H58" s="24">
        <f>'4.pielikums'!B56</f>
        <v>31174</v>
      </c>
    </row>
    <row r="59" spans="1:8" ht="30" customHeight="1">
      <c r="A59" s="61"/>
      <c r="B59" s="45" t="s">
        <v>69</v>
      </c>
      <c r="C59" s="48"/>
      <c r="D59" s="40">
        <f t="shared" si="2"/>
        <v>0</v>
      </c>
      <c r="E59" s="40"/>
      <c r="F59" s="40">
        <v>42118</v>
      </c>
      <c r="G59" s="40"/>
      <c r="H59" s="24">
        <f>'4.pielikums'!B57</f>
        <v>42118</v>
      </c>
    </row>
    <row r="60" spans="1:8" ht="30" customHeight="1">
      <c r="A60" s="61"/>
      <c r="B60" s="45" t="s">
        <v>212</v>
      </c>
      <c r="C60" s="48">
        <v>3363</v>
      </c>
      <c r="D60" s="40">
        <f t="shared" si="2"/>
        <v>0</v>
      </c>
      <c r="E60" s="40"/>
      <c r="F60" s="40">
        <v>9815</v>
      </c>
      <c r="G60" s="40"/>
      <c r="H60" s="24">
        <f>'4.pielikums'!B58</f>
        <v>13178</v>
      </c>
    </row>
    <row r="61" spans="1:8" ht="30" customHeight="1">
      <c r="A61" s="61"/>
      <c r="B61" s="45" t="s">
        <v>70</v>
      </c>
      <c r="C61" s="48"/>
      <c r="D61" s="40">
        <f t="shared" si="2"/>
        <v>0</v>
      </c>
      <c r="E61" s="40"/>
      <c r="F61" s="40">
        <v>14853</v>
      </c>
      <c r="G61" s="40"/>
      <c r="H61" s="24">
        <f>'4.pielikums'!B59</f>
        <v>14853</v>
      </c>
    </row>
    <row r="62" spans="1:8" ht="30" customHeight="1">
      <c r="A62" s="61"/>
      <c r="B62" s="45" t="s">
        <v>210</v>
      </c>
      <c r="C62" s="48">
        <v>21458</v>
      </c>
      <c r="D62" s="40">
        <f t="shared" si="2"/>
        <v>0</v>
      </c>
      <c r="E62" s="40"/>
      <c r="F62" s="40">
        <v>43712</v>
      </c>
      <c r="G62" s="40"/>
      <c r="H62" s="24">
        <f>'4.pielikums'!B60</f>
        <v>65170</v>
      </c>
    </row>
    <row r="63" spans="1:8" ht="30" customHeight="1">
      <c r="A63" s="61"/>
      <c r="B63" s="45" t="s">
        <v>211</v>
      </c>
      <c r="C63" s="48"/>
      <c r="D63" s="40">
        <f t="shared" si="2"/>
        <v>0</v>
      </c>
      <c r="E63" s="40"/>
      <c r="F63" s="40">
        <v>31380</v>
      </c>
      <c r="G63" s="40"/>
      <c r="H63" s="24">
        <f>'4.pielikums'!B61</f>
        <v>31380</v>
      </c>
    </row>
    <row r="64" spans="1:8" ht="30" customHeight="1">
      <c r="A64" s="61"/>
      <c r="B64" s="45" t="s">
        <v>213</v>
      </c>
      <c r="C64" s="48">
        <v>160973</v>
      </c>
      <c r="D64" s="40">
        <f t="shared" si="2"/>
        <v>0</v>
      </c>
      <c r="E64" s="40"/>
      <c r="F64" s="40">
        <v>63137</v>
      </c>
      <c r="G64" s="40"/>
      <c r="H64" s="24">
        <f>'4.pielikums'!B62</f>
        <v>224110</v>
      </c>
    </row>
    <row r="65" spans="1:8" ht="30" customHeight="1">
      <c r="A65" s="61"/>
      <c r="B65" s="45" t="s">
        <v>215</v>
      </c>
      <c r="C65" s="48">
        <v>13693</v>
      </c>
      <c r="D65" s="40">
        <f t="shared" si="2"/>
        <v>0</v>
      </c>
      <c r="E65" s="40"/>
      <c r="F65" s="40">
        <v>27134</v>
      </c>
      <c r="G65" s="40"/>
      <c r="H65" s="24">
        <f>'4.pielikums'!B63</f>
        <v>40827</v>
      </c>
    </row>
    <row r="66" spans="1:8" ht="30" customHeight="1">
      <c r="A66" s="61"/>
      <c r="B66" s="45" t="s">
        <v>216</v>
      </c>
      <c r="C66" s="48">
        <v>22705</v>
      </c>
      <c r="D66" s="40">
        <f t="shared" si="2"/>
        <v>0</v>
      </c>
      <c r="E66" s="40"/>
      <c r="F66" s="40">
        <v>46312</v>
      </c>
      <c r="G66" s="40"/>
      <c r="H66" s="24">
        <f>'4.pielikums'!B64</f>
        <v>69017</v>
      </c>
    </row>
    <row r="67" spans="1:8" ht="30" customHeight="1">
      <c r="A67" s="61"/>
      <c r="B67" s="45" t="s">
        <v>71</v>
      </c>
      <c r="C67" s="48">
        <v>2834</v>
      </c>
      <c r="D67" s="40">
        <f t="shared" si="2"/>
        <v>0</v>
      </c>
      <c r="E67" s="40"/>
      <c r="F67" s="40">
        <v>35901</v>
      </c>
      <c r="G67" s="40"/>
      <c r="H67" s="24">
        <f>'4.pielikums'!B65</f>
        <v>38735</v>
      </c>
    </row>
    <row r="68" spans="1:8" ht="30" customHeight="1">
      <c r="A68" s="61"/>
      <c r="B68" s="45" t="s">
        <v>72</v>
      </c>
      <c r="C68" s="48">
        <v>8787</v>
      </c>
      <c r="D68" s="40">
        <f t="shared" si="2"/>
        <v>0</v>
      </c>
      <c r="E68" s="40"/>
      <c r="F68" s="40">
        <v>11894</v>
      </c>
      <c r="G68" s="40"/>
      <c r="H68" s="24">
        <f>'4.pielikums'!B66</f>
        <v>20681</v>
      </c>
    </row>
    <row r="69" spans="1:8" ht="30" customHeight="1">
      <c r="A69" s="61"/>
      <c r="B69" s="45" t="s">
        <v>219</v>
      </c>
      <c r="C69" s="48">
        <v>7130</v>
      </c>
      <c r="D69" s="40">
        <f t="shared" si="2"/>
        <v>0</v>
      </c>
      <c r="E69" s="40"/>
      <c r="F69" s="40">
        <v>21413</v>
      </c>
      <c r="G69" s="40"/>
      <c r="H69" s="24">
        <f>'4.pielikums'!B67</f>
        <v>28543</v>
      </c>
    </row>
    <row r="70" spans="1:8" ht="30" customHeight="1">
      <c r="A70" s="61"/>
      <c r="B70" s="45" t="s">
        <v>73</v>
      </c>
      <c r="C70" s="48">
        <v>4412</v>
      </c>
      <c r="D70" s="40">
        <f t="shared" si="2"/>
        <v>0</v>
      </c>
      <c r="E70" s="40"/>
      <c r="F70" s="40">
        <v>21303</v>
      </c>
      <c r="G70" s="40"/>
      <c r="H70" s="24">
        <f>'4.pielikums'!B68</f>
        <v>25715</v>
      </c>
    </row>
    <row r="71" spans="1:8" ht="30" customHeight="1">
      <c r="A71" s="61"/>
      <c r="B71" s="45" t="s">
        <v>217</v>
      </c>
      <c r="C71" s="48">
        <v>484</v>
      </c>
      <c r="D71" s="40">
        <f t="shared" si="2"/>
        <v>0</v>
      </c>
      <c r="E71" s="40"/>
      <c r="F71" s="40">
        <v>8414</v>
      </c>
      <c r="G71" s="40"/>
      <c r="H71" s="24">
        <f>'4.pielikums'!B69</f>
        <v>8898</v>
      </c>
    </row>
    <row r="72" spans="1:8" ht="30" customHeight="1">
      <c r="A72" s="61"/>
      <c r="B72" s="45" t="s">
        <v>218</v>
      </c>
      <c r="C72" s="48">
        <v>12249</v>
      </c>
      <c r="D72" s="40">
        <f t="shared" si="2"/>
        <v>0</v>
      </c>
      <c r="E72" s="40"/>
      <c r="F72" s="40">
        <v>26222</v>
      </c>
      <c r="G72" s="40"/>
      <c r="H72" s="24">
        <f>'4.pielikums'!B70</f>
        <v>38471</v>
      </c>
    </row>
    <row r="73" spans="1:8" ht="30" customHeight="1">
      <c r="A73" s="61"/>
      <c r="B73" s="46" t="s">
        <v>624</v>
      </c>
      <c r="C73" s="48"/>
      <c r="D73" s="40">
        <f>H73-E73-G73-F73-C73</f>
        <v>0</v>
      </c>
      <c r="E73" s="40"/>
      <c r="F73" s="40">
        <v>172339</v>
      </c>
      <c r="G73" s="40"/>
      <c r="H73" s="24">
        <f>'4.pielikums'!B71</f>
        <v>172339</v>
      </c>
    </row>
    <row r="74" spans="1:8" ht="15" customHeight="1">
      <c r="A74" s="61"/>
      <c r="B74" s="46" t="s">
        <v>647</v>
      </c>
      <c r="C74" s="48"/>
      <c r="D74" s="40">
        <f>H74-E74-G74-F74-C74</f>
        <v>33566.608695652161</v>
      </c>
      <c r="E74" s="40"/>
      <c r="F74" s="40"/>
      <c r="G74" s="40">
        <f>257344/1.15</f>
        <v>223777.39130434784</v>
      </c>
      <c r="H74" s="24">
        <f>'4.pielikums'!B300</f>
        <v>257344</v>
      </c>
    </row>
    <row r="75" spans="1:8" ht="15" customHeight="1">
      <c r="A75" s="49"/>
      <c r="B75" s="52" t="s">
        <v>622</v>
      </c>
      <c r="C75" s="48"/>
      <c r="D75" s="40">
        <f>H75-E75-G75-F75-C75</f>
        <v>138837</v>
      </c>
      <c r="E75" s="40"/>
      <c r="F75" s="40"/>
      <c r="G75" s="40"/>
      <c r="H75" s="24">
        <f>'4.pielikums'!B299</f>
        <v>138837</v>
      </c>
    </row>
    <row r="76" spans="1:8" ht="15" customHeight="1">
      <c r="A76" s="61"/>
      <c r="B76" s="19" t="s">
        <v>130</v>
      </c>
      <c r="C76" s="48"/>
      <c r="D76" s="40">
        <f t="shared" si="2"/>
        <v>16110</v>
      </c>
      <c r="E76" s="40">
        <f>250+5500</f>
        <v>5750</v>
      </c>
      <c r="F76" s="40"/>
      <c r="G76" s="40"/>
      <c r="H76" s="24">
        <f>'4.pielikums'!B73</f>
        <v>21860</v>
      </c>
    </row>
    <row r="77" spans="1:8" ht="30" customHeight="1">
      <c r="A77" s="49"/>
      <c r="B77" s="43" t="s">
        <v>58</v>
      </c>
      <c r="C77" s="48"/>
      <c r="D77" s="40">
        <f t="shared" si="2"/>
        <v>3244</v>
      </c>
      <c r="E77" s="40"/>
      <c r="F77" s="40"/>
      <c r="G77" s="40"/>
      <c r="H77" s="24">
        <f>'4.pielikums'!B47</f>
        <v>3244</v>
      </c>
    </row>
    <row r="78" spans="1:8" ht="15" customHeight="1">
      <c r="A78" s="49"/>
      <c r="B78" s="43" t="s">
        <v>18</v>
      </c>
      <c r="C78" s="48"/>
      <c r="D78" s="40">
        <f t="shared" si="5" ref="D78:D106">=H78-E78-G78-F78-C78</f>
        <v>96522</v>
      </c>
      <c r="E78" s="40"/>
      <c r="F78" s="40"/>
      <c r="G78" s="40"/>
      <c r="H78" s="24">
        <f>'4.pielikums'!B46</f>
        <v>96522</v>
      </c>
    </row>
    <row r="79" spans="1:8" ht="15" customHeight="1">
      <c r="A79" s="49"/>
      <c r="B79" s="43" t="s">
        <v>277</v>
      </c>
      <c r="C79" s="48"/>
      <c r="D79" s="40">
        <f t="shared" si="5"/>
        <v>50000</v>
      </c>
      <c r="E79" s="40"/>
      <c r="F79" s="40"/>
      <c r="G79" s="40"/>
      <c r="H79" s="24">
        <f>'4.pielikums'!B49</f>
        <v>50000</v>
      </c>
    </row>
    <row r="80" spans="1:8" ht="30" customHeight="1">
      <c r="A80" s="49"/>
      <c r="B80" s="19" t="s">
        <v>589</v>
      </c>
      <c r="C80" s="48"/>
      <c r="D80" s="40">
        <f t="shared" si="5"/>
        <v>20812</v>
      </c>
      <c r="E80" s="40"/>
      <c r="F80" s="40"/>
      <c r="G80" s="40"/>
      <c r="H80" s="24">
        <f>'4.pielikums'!B297</f>
        <v>20812</v>
      </c>
    </row>
    <row r="81" spans="1:8" ht="30" customHeight="1">
      <c r="A81" s="49"/>
      <c r="B81" s="43" t="s">
        <v>167</v>
      </c>
      <c r="C81" s="48"/>
      <c r="D81" s="40">
        <f t="shared" si="5"/>
        <v>63254</v>
      </c>
      <c r="E81" s="40"/>
      <c r="F81" s="40"/>
      <c r="G81" s="40">
        <v>541243</v>
      </c>
      <c r="H81" s="24">
        <f>'4.pielikums'!B302</f>
        <v>604497</v>
      </c>
    </row>
    <row r="82" spans="1:8" ht="30" customHeight="1">
      <c r="A82" s="49"/>
      <c r="B82" s="43" t="s">
        <v>80</v>
      </c>
      <c r="C82" s="48">
        <v>3057</v>
      </c>
      <c r="D82" s="40">
        <f t="shared" si="5"/>
        <v>0</v>
      </c>
      <c r="E82" s="40"/>
      <c r="F82" s="40"/>
      <c r="G82" s="40"/>
      <c r="H82" s="24">
        <f>'4.pielikums'!B74</f>
        <v>3057</v>
      </c>
    </row>
    <row r="83" spans="1:8" ht="30" customHeight="1">
      <c r="A83" s="49"/>
      <c r="B83" s="43" t="s">
        <v>626</v>
      </c>
      <c r="C83" s="48">
        <v>8500</v>
      </c>
      <c r="D83" s="40">
        <f t="shared" si="5"/>
        <v>11910</v>
      </c>
      <c r="E83" s="40">
        <f>1500</f>
        <v>1500</v>
      </c>
      <c r="F83" s="40"/>
      <c r="G83" s="40"/>
      <c r="H83" s="24">
        <f>'4.pielikums'!B75</f>
        <v>21910</v>
      </c>
    </row>
    <row r="84" spans="1:8" ht="32.1" customHeight="1">
      <c r="A84" s="63"/>
      <c r="B84" s="47" t="s">
        <v>246</v>
      </c>
      <c r="C84" s="48"/>
      <c r="D84" s="40">
        <f t="shared" si="5"/>
        <v>23310</v>
      </c>
      <c r="E84" s="40"/>
      <c r="F84" s="40">
        <v>111000</v>
      </c>
      <c r="G84" s="40"/>
      <c r="H84" s="24">
        <f>'4.pielikums'!B76</f>
        <v>134310</v>
      </c>
    </row>
    <row r="85" spans="1:8" ht="15" customHeight="1">
      <c r="A85" s="63"/>
      <c r="B85" s="43" t="s">
        <v>592</v>
      </c>
      <c r="C85" s="48"/>
      <c r="D85" s="40">
        <f>H85-E85-G85-F85-C85</f>
        <v>0</v>
      </c>
      <c r="E85" s="40"/>
      <c r="F85" s="40">
        <v>5000</v>
      </c>
      <c r="G85" s="40"/>
      <c r="H85" s="24">
        <f>'4.pielikums'!B309</f>
        <v>5000</v>
      </c>
    </row>
    <row r="86" spans="1:8" ht="15" customHeight="1">
      <c r="A86" s="1" t="s">
        <v>278</v>
      </c>
      <c r="B86" s="26" t="s">
        <v>279</v>
      </c>
      <c r="C86" s="39">
        <f t="shared" si="6" ref="C86:H86">=SUM(C87:C106)</f>
        <v>0</v>
      </c>
      <c r="D86" s="39">
        <f t="shared" si="6"/>
        <v>83005</v>
      </c>
      <c r="E86" s="39">
        <f t="shared" si="6"/>
        <v>128303</v>
      </c>
      <c r="F86" s="39">
        <f t="shared" si="6"/>
        <v>0</v>
      </c>
      <c r="G86" s="39">
        <f t="shared" si="6"/>
        <v>0</v>
      </c>
      <c r="H86" s="24">
        <f t="shared" si="6"/>
        <v>211308</v>
      </c>
    </row>
    <row r="87" spans="1:8" ht="30" customHeight="1">
      <c r="A87" s="49"/>
      <c r="B87" s="43" t="s">
        <v>74</v>
      </c>
      <c r="C87" s="48"/>
      <c r="D87" s="40">
        <f t="shared" si="5"/>
        <v>48012</v>
      </c>
      <c r="E87" s="40">
        <v>37000</v>
      </c>
      <c r="F87" s="40"/>
      <c r="G87" s="40"/>
      <c r="H87" s="24">
        <f>'4.pielikums'!B77</f>
        <v>85012</v>
      </c>
    </row>
    <row r="88" spans="1:8" ht="30" customHeight="1">
      <c r="A88" s="49"/>
      <c r="B88" s="50" t="s">
        <v>330</v>
      </c>
      <c r="C88" s="48"/>
      <c r="D88" s="40">
        <f t="shared" si="5"/>
        <v>7740</v>
      </c>
      <c r="E88" s="40">
        <v>2860</v>
      </c>
      <c r="F88" s="40"/>
      <c r="G88" s="40"/>
      <c r="H88" s="24">
        <f>'4.pielikums'!B78</f>
        <v>10600</v>
      </c>
    </row>
    <row r="89" spans="1:8" ht="30" customHeight="1">
      <c r="A89" s="49"/>
      <c r="B89" s="50" t="s">
        <v>616</v>
      </c>
      <c r="C89" s="48"/>
      <c r="D89" s="40">
        <f t="shared" si="5"/>
        <v>625</v>
      </c>
      <c r="E89" s="40">
        <v>6000</v>
      </c>
      <c r="F89" s="40"/>
      <c r="G89" s="40"/>
      <c r="H89" s="24">
        <f>'4.pielikums'!B79</f>
        <v>6625</v>
      </c>
    </row>
    <row r="90" spans="1:8" ht="30" customHeight="1">
      <c r="A90" s="49"/>
      <c r="B90" s="19" t="s">
        <v>249</v>
      </c>
      <c r="C90" s="48"/>
      <c r="D90" s="40">
        <f t="shared" si="5"/>
        <v>159</v>
      </c>
      <c r="E90" s="40">
        <f>5200</f>
        <v>5200</v>
      </c>
      <c r="F90" s="40"/>
      <c r="G90" s="40"/>
      <c r="H90" s="24">
        <f>'4.pielikums'!B80</f>
        <v>5359</v>
      </c>
    </row>
    <row r="91" spans="1:8" ht="30" customHeight="1">
      <c r="A91" s="49"/>
      <c r="B91" s="50" t="s">
        <v>617</v>
      </c>
      <c r="C91" s="48"/>
      <c r="D91" s="40">
        <f t="shared" si="5"/>
        <v>3239</v>
      </c>
      <c r="E91" s="40">
        <v>2300</v>
      </c>
      <c r="F91" s="40"/>
      <c r="G91" s="40"/>
      <c r="H91" s="24">
        <f>'4.pielikums'!B81</f>
        <v>5539</v>
      </c>
    </row>
    <row r="92" spans="1:8" ht="30" customHeight="1">
      <c r="A92" s="49"/>
      <c r="B92" s="19" t="s">
        <v>235</v>
      </c>
      <c r="C92" s="48"/>
      <c r="D92" s="40">
        <f t="shared" si="5"/>
        <v>1997</v>
      </c>
      <c r="E92" s="40">
        <f>2045</f>
        <v>2045</v>
      </c>
      <c r="F92" s="40"/>
      <c r="G92" s="40"/>
      <c r="H92" s="24">
        <f>'4.pielikums'!B82</f>
        <v>4042</v>
      </c>
    </row>
    <row r="93" spans="1:8" ht="30" customHeight="1">
      <c r="A93" s="49"/>
      <c r="B93" s="19" t="s">
        <v>238</v>
      </c>
      <c r="C93" s="48"/>
      <c r="D93" s="40">
        <f t="shared" si="5"/>
        <v>0</v>
      </c>
      <c r="E93" s="40">
        <v>6752</v>
      </c>
      <c r="F93" s="40"/>
      <c r="G93" s="40"/>
      <c r="H93" s="24">
        <f>'4.pielikums'!B83</f>
        <v>6752</v>
      </c>
    </row>
    <row r="94" spans="1:8" ht="30" customHeight="1">
      <c r="A94" s="49"/>
      <c r="B94" s="19" t="s">
        <v>135</v>
      </c>
      <c r="C94" s="48"/>
      <c r="D94" s="40">
        <f t="shared" si="5"/>
        <v>0</v>
      </c>
      <c r="E94" s="40">
        <v>4700</v>
      </c>
      <c r="F94" s="40"/>
      <c r="G94" s="40"/>
      <c r="H94" s="24">
        <f>'4.pielikums'!B84</f>
        <v>4700</v>
      </c>
    </row>
    <row r="95" spans="1:8" ht="30" customHeight="1">
      <c r="A95" s="49"/>
      <c r="B95" s="45" t="s">
        <v>331</v>
      </c>
      <c r="C95" s="48"/>
      <c r="D95" s="40">
        <f t="shared" si="5"/>
        <v>3179</v>
      </c>
      <c r="E95" s="40">
        <f>6765</f>
        <v>6765</v>
      </c>
      <c r="F95" s="40"/>
      <c r="G95" s="40"/>
      <c r="H95" s="24">
        <f>'4.pielikums'!B85</f>
        <v>9944</v>
      </c>
    </row>
    <row r="96" spans="1:8" ht="30" customHeight="1">
      <c r="A96" s="49"/>
      <c r="B96" s="45" t="s">
        <v>618</v>
      </c>
      <c r="C96" s="48"/>
      <c r="D96" s="40">
        <f t="shared" si="5"/>
        <v>50</v>
      </c>
      <c r="E96" s="40">
        <v>500</v>
      </c>
      <c r="F96" s="40"/>
      <c r="G96" s="40"/>
      <c r="H96" s="24">
        <f>'4.pielikums'!B86</f>
        <v>550</v>
      </c>
    </row>
    <row r="97" spans="1:8" ht="30" customHeight="1">
      <c r="A97" s="49"/>
      <c r="B97" s="19" t="s">
        <v>132</v>
      </c>
      <c r="C97" s="48"/>
      <c r="D97" s="40">
        <f t="shared" si="5"/>
        <v>5113</v>
      </c>
      <c r="E97" s="40">
        <f>4993</f>
        <v>4993</v>
      </c>
      <c r="F97" s="40"/>
      <c r="G97" s="40"/>
      <c r="H97" s="24">
        <f>'4.pielikums'!B87</f>
        <v>10106</v>
      </c>
    </row>
    <row r="98" spans="1:8" ht="30" customHeight="1">
      <c r="A98" s="49"/>
      <c r="B98" s="19" t="s">
        <v>134</v>
      </c>
      <c r="C98" s="48"/>
      <c r="D98" s="40">
        <f t="shared" si="5"/>
        <v>763</v>
      </c>
      <c r="E98" s="40">
        <f>350+400</f>
        <v>750</v>
      </c>
      <c r="F98" s="40"/>
      <c r="G98" s="40"/>
      <c r="H98" s="24">
        <f>'4.pielikums'!B88</f>
        <v>1513</v>
      </c>
    </row>
    <row r="99" spans="1:8" ht="30" customHeight="1">
      <c r="A99" s="49"/>
      <c r="B99" s="45" t="s">
        <v>329</v>
      </c>
      <c r="C99" s="48"/>
      <c r="D99" s="40">
        <f t="shared" si="5"/>
        <v>1580</v>
      </c>
      <c r="E99" s="40">
        <f>7884</f>
        <v>7884</v>
      </c>
      <c r="F99" s="40"/>
      <c r="G99" s="40"/>
      <c r="H99" s="24">
        <f>'4.pielikums'!B89</f>
        <v>9464</v>
      </c>
    </row>
    <row r="100" spans="1:8" ht="30" customHeight="1">
      <c r="A100" s="49"/>
      <c r="B100" s="19" t="s">
        <v>251</v>
      </c>
      <c r="C100" s="48"/>
      <c r="D100" s="40">
        <f t="shared" si="5"/>
        <v>7230</v>
      </c>
      <c r="E100" s="40">
        <f>3000</f>
        <v>3000</v>
      </c>
      <c r="F100" s="40"/>
      <c r="G100" s="40"/>
      <c r="H100" s="24">
        <f>'4.pielikums'!B90</f>
        <v>10230</v>
      </c>
    </row>
    <row r="101" spans="1:8" ht="30" customHeight="1">
      <c r="A101" s="49"/>
      <c r="B101" s="19" t="s">
        <v>133</v>
      </c>
      <c r="C101" s="48"/>
      <c r="D101" s="40">
        <f t="shared" si="5"/>
        <v>421</v>
      </c>
      <c r="E101" s="40">
        <f>309</f>
        <v>309</v>
      </c>
      <c r="F101" s="40"/>
      <c r="G101" s="40"/>
      <c r="H101" s="24">
        <f>'4.pielikums'!B91</f>
        <v>730</v>
      </c>
    </row>
    <row r="102" spans="1:8" ht="30" customHeight="1">
      <c r="A102" s="49"/>
      <c r="B102" s="19" t="s">
        <v>136</v>
      </c>
      <c r="C102" s="48"/>
      <c r="D102" s="40">
        <f t="shared" si="5"/>
        <v>1708</v>
      </c>
      <c r="E102" s="40">
        <f>1800</f>
        <v>1800</v>
      </c>
      <c r="F102" s="40"/>
      <c r="G102" s="40"/>
      <c r="H102" s="24">
        <f>'4.pielikums'!B92</f>
        <v>3508</v>
      </c>
    </row>
    <row r="103" spans="1:8" ht="30" customHeight="1">
      <c r="A103" s="49"/>
      <c r="B103" s="19" t="s">
        <v>660</v>
      </c>
      <c r="C103" s="48"/>
      <c r="D103" s="40">
        <f t="shared" si="5"/>
        <v>719</v>
      </c>
      <c r="E103" s="40">
        <f>17550</f>
        <v>17550</v>
      </c>
      <c r="F103" s="40"/>
      <c r="G103" s="40"/>
      <c r="H103" s="24">
        <f>'4.pielikums'!B93</f>
        <v>18269</v>
      </c>
    </row>
    <row r="104" spans="1:8" ht="30" customHeight="1">
      <c r="A104" s="49"/>
      <c r="B104" s="19" t="s">
        <v>661</v>
      </c>
      <c r="C104" s="48"/>
      <c r="D104" s="40">
        <f t="shared" si="5"/>
        <v>470</v>
      </c>
      <c r="E104" s="40">
        <v>6400</v>
      </c>
      <c r="F104" s="40"/>
      <c r="G104" s="40"/>
      <c r="H104" s="24">
        <f>'4.pielikums'!B94</f>
        <v>6870</v>
      </c>
    </row>
    <row r="105" spans="1:8" ht="30" customHeight="1">
      <c r="A105" s="49"/>
      <c r="B105" s="19" t="s">
        <v>137</v>
      </c>
      <c r="C105" s="48"/>
      <c r="D105" s="40">
        <f t="shared" si="5"/>
        <v>0</v>
      </c>
      <c r="E105" s="40">
        <v>7985</v>
      </c>
      <c r="F105" s="40"/>
      <c r="G105" s="40"/>
      <c r="H105" s="24">
        <f>'4.pielikums'!B95</f>
        <v>7985</v>
      </c>
    </row>
    <row r="106" spans="1:8" ht="30" customHeight="1">
      <c r="A106" s="49"/>
      <c r="B106" s="19" t="s">
        <v>131</v>
      </c>
      <c r="C106" s="48"/>
      <c r="D106" s="40">
        <f t="shared" si="5"/>
        <v>0</v>
      </c>
      <c r="E106" s="40">
        <f>3510</f>
        <v>3510</v>
      </c>
      <c r="F106" s="40"/>
      <c r="G106" s="40"/>
      <c r="H106" s="24">
        <f>'4.pielikums'!B96</f>
        <v>3510</v>
      </c>
    </row>
    <row r="107" spans="1:8" ht="30" customHeight="1">
      <c r="A107" s="51" t="s">
        <v>280</v>
      </c>
      <c r="B107" s="26" t="s">
        <v>281</v>
      </c>
      <c r="C107" s="39">
        <f t="shared" si="7" ref="C107:H107">=C108+C112</f>
        <v>0</v>
      </c>
      <c r="D107" s="39">
        <f t="shared" si="7"/>
        <v>2393266</v>
      </c>
      <c r="E107" s="39">
        <f t="shared" si="7"/>
        <v>1934332</v>
      </c>
      <c r="F107" s="39">
        <f t="shared" si="7"/>
        <v>87623</v>
      </c>
      <c r="G107" s="39">
        <f t="shared" si="7"/>
        <v>0</v>
      </c>
      <c r="H107" s="24">
        <f t="shared" si="7"/>
        <v>4415221</v>
      </c>
    </row>
    <row r="108" spans="1:8" ht="15" customHeight="1">
      <c r="A108" s="59"/>
      <c r="B108" s="38" t="s">
        <v>282</v>
      </c>
      <c r="C108" s="39">
        <f>SUM(C109:C111)</f>
        <v>0</v>
      </c>
      <c r="D108" s="39">
        <f>SUM(D109:D111)</f>
        <v>146731</v>
      </c>
      <c r="E108" s="39">
        <f t="shared" si="8" ref="E108:G108">=SUM(E109:E111)</f>
        <v>0</v>
      </c>
      <c r="F108" s="39">
        <f t="shared" si="8"/>
        <v>0</v>
      </c>
      <c r="G108" s="39">
        <f t="shared" si="8"/>
        <v>0</v>
      </c>
      <c r="H108" s="24">
        <f>SUM(H109:H111)</f>
        <v>146731</v>
      </c>
    </row>
    <row r="109" spans="1:8" ht="15" customHeight="1">
      <c r="A109" s="1"/>
      <c r="B109" s="27" t="s">
        <v>19</v>
      </c>
      <c r="C109" s="58"/>
      <c r="D109" s="40">
        <f t="shared" si="9" ref="D109:D177">=H109-E109-G109-F109-C109</f>
        <v>138101</v>
      </c>
      <c r="E109" s="40"/>
      <c r="F109" s="40"/>
      <c r="G109" s="40"/>
      <c r="H109" s="24">
        <f>'4.pielikums'!B97</f>
        <v>138101</v>
      </c>
    </row>
    <row r="110" spans="1:8" ht="30" customHeight="1">
      <c r="A110" s="49"/>
      <c r="B110" s="52" t="s">
        <v>177</v>
      </c>
      <c r="C110" s="48"/>
      <c r="D110" s="40">
        <f t="shared" si="9"/>
        <v>5541</v>
      </c>
      <c r="E110" s="40"/>
      <c r="F110" s="40"/>
      <c r="G110" s="40"/>
      <c r="H110" s="24">
        <f>'4.pielikums'!B98</f>
        <v>5541</v>
      </c>
    </row>
    <row r="111" spans="1:8" ht="30" customHeight="1">
      <c r="A111" s="49"/>
      <c r="B111" s="52" t="s">
        <v>176</v>
      </c>
      <c r="C111" s="48"/>
      <c r="D111" s="40">
        <f t="shared" si="9"/>
        <v>3089</v>
      </c>
      <c r="E111" s="40"/>
      <c r="F111" s="40"/>
      <c r="G111" s="40"/>
      <c r="H111" s="24">
        <f>'4.pielikums'!B99</f>
        <v>3089</v>
      </c>
    </row>
    <row r="112" spans="1:8" ht="47.25">
      <c r="A112" s="49"/>
      <c r="B112" s="26" t="s">
        <v>283</v>
      </c>
      <c r="C112" s="39">
        <f t="shared" si="10" ref="C112:H112">=SUM(C113:C174)</f>
        <v>0</v>
      </c>
      <c r="D112" s="39">
        <f t="shared" si="10"/>
        <v>2246535</v>
      </c>
      <c r="E112" s="39">
        <f t="shared" si="10"/>
        <v>1934332</v>
      </c>
      <c r="F112" s="39">
        <f t="shared" si="10"/>
        <v>87623</v>
      </c>
      <c r="G112" s="39">
        <f t="shared" si="10"/>
        <v>0</v>
      </c>
      <c r="H112" s="24">
        <f t="shared" si="10"/>
        <v>4268490</v>
      </c>
    </row>
    <row r="113" spans="1:8" ht="15" customHeight="1">
      <c r="A113" s="51"/>
      <c r="B113" s="43" t="s">
        <v>183</v>
      </c>
      <c r="C113" s="48"/>
      <c r="D113" s="40">
        <f t="shared" si="9"/>
        <v>87126</v>
      </c>
      <c r="E113" s="40">
        <v>8300</v>
      </c>
      <c r="F113" s="40"/>
      <c r="G113" s="40"/>
      <c r="H113" s="24">
        <f>'4.pielikums'!B100</f>
        <v>95426</v>
      </c>
    </row>
    <row r="114" spans="1:8" ht="15" customHeight="1">
      <c r="A114" s="51"/>
      <c r="B114" s="43" t="s">
        <v>186</v>
      </c>
      <c r="C114" s="48"/>
      <c r="D114" s="40">
        <f t="shared" si="9"/>
        <v>146887</v>
      </c>
      <c r="E114" s="40">
        <v>2000</v>
      </c>
      <c r="F114" s="40"/>
      <c r="G114" s="40"/>
      <c r="H114" s="24">
        <f>'4.pielikums'!B101</f>
        <v>148887</v>
      </c>
    </row>
    <row r="115" spans="1:8" ht="15" customHeight="1">
      <c r="A115" s="49"/>
      <c r="B115" s="27" t="s">
        <v>285</v>
      </c>
      <c r="C115" s="58"/>
      <c r="D115" s="40">
        <f t="shared" si="9"/>
        <v>335243</v>
      </c>
      <c r="E115" s="40">
        <f>20000+712078+604281+118585</f>
        <v>1454944</v>
      </c>
      <c r="F115" s="40"/>
      <c r="G115" s="40"/>
      <c r="H115" s="24">
        <f>'4.pielikums'!B118</f>
        <v>1790187</v>
      </c>
    </row>
    <row r="116" spans="1:8" ht="15" customHeight="1">
      <c r="A116" s="63"/>
      <c r="B116" s="43" t="s">
        <v>20</v>
      </c>
      <c r="C116" s="48"/>
      <c r="D116" s="40">
        <f t="shared" si="9"/>
        <v>30049</v>
      </c>
      <c r="E116" s="40"/>
      <c r="F116" s="40"/>
      <c r="G116" s="40"/>
      <c r="H116" s="24">
        <f>'4.pielikums'!B102</f>
        <v>30049</v>
      </c>
    </row>
    <row r="117" spans="1:8" ht="30" customHeight="1">
      <c r="A117" s="49"/>
      <c r="B117" s="43" t="s">
        <v>284</v>
      </c>
      <c r="C117" s="48"/>
      <c r="D117" s="40">
        <f t="shared" si="9"/>
        <v>62144</v>
      </c>
      <c r="E117" s="40">
        <f>2280</f>
        <v>2280</v>
      </c>
      <c r="F117" s="40"/>
      <c r="G117" s="40"/>
      <c r="H117" s="24">
        <f>'4.pielikums'!B103</f>
        <v>64424</v>
      </c>
    </row>
    <row r="118" spans="1:8" ht="15" customHeight="1">
      <c r="A118" s="49"/>
      <c r="B118" s="43" t="s">
        <v>21</v>
      </c>
      <c r="C118" s="48"/>
      <c r="D118" s="40">
        <f t="shared" si="9"/>
        <v>34035</v>
      </c>
      <c r="E118" s="40">
        <f>170</f>
        <v>170</v>
      </c>
      <c r="F118" s="40"/>
      <c r="G118" s="40"/>
      <c r="H118" s="24">
        <f>'4.pielikums'!B104</f>
        <v>34205</v>
      </c>
    </row>
    <row r="119" spans="1:8" ht="30" customHeight="1">
      <c r="A119" s="49"/>
      <c r="B119" s="43" t="s">
        <v>22</v>
      </c>
      <c r="C119" s="48"/>
      <c r="D119" s="40">
        <f t="shared" si="9"/>
        <v>39664</v>
      </c>
      <c r="E119" s="40">
        <f>2100</f>
        <v>2100</v>
      </c>
      <c r="F119" s="40"/>
      <c r="G119" s="40"/>
      <c r="H119" s="24">
        <f>'4.pielikums'!B105</f>
        <v>41764</v>
      </c>
    </row>
    <row r="120" spans="1:8" ht="15" customHeight="1">
      <c r="A120" s="49"/>
      <c r="B120" s="43" t="s">
        <v>23</v>
      </c>
      <c r="C120" s="48"/>
      <c r="D120" s="40">
        <f t="shared" si="9"/>
        <v>17520</v>
      </c>
      <c r="E120" s="40">
        <f>300+1200+2100</f>
        <v>3600</v>
      </c>
      <c r="F120" s="40"/>
      <c r="G120" s="40"/>
      <c r="H120" s="24">
        <f>'4.pielikums'!B106</f>
        <v>21120</v>
      </c>
    </row>
    <row r="121" spans="1:8" ht="15" customHeight="1">
      <c r="A121" s="49"/>
      <c r="B121" s="43" t="s">
        <v>24</v>
      </c>
      <c r="C121" s="48"/>
      <c r="D121" s="40">
        <f t="shared" si="9"/>
        <v>65163</v>
      </c>
      <c r="E121" s="40">
        <f>400</f>
        <v>400</v>
      </c>
      <c r="F121" s="40"/>
      <c r="G121" s="40"/>
      <c r="H121" s="24">
        <f>'4.pielikums'!B107</f>
        <v>65563</v>
      </c>
    </row>
    <row r="122" spans="1:8" ht="30" customHeight="1">
      <c r="A122" s="49"/>
      <c r="B122" s="19" t="s">
        <v>332</v>
      </c>
      <c r="C122" s="48"/>
      <c r="D122" s="40">
        <f t="shared" si="9"/>
        <v>18629</v>
      </c>
      <c r="E122" s="40">
        <f>2000+850+56675</f>
        <v>59525</v>
      </c>
      <c r="F122" s="40"/>
      <c r="G122" s="40"/>
      <c r="H122" s="24">
        <f>'4.pielikums'!B108</f>
        <v>78154</v>
      </c>
    </row>
    <row r="123" spans="1:8" ht="30" customHeight="1">
      <c r="A123" s="49"/>
      <c r="B123" s="52" t="s">
        <v>139</v>
      </c>
      <c r="C123" s="48"/>
      <c r="D123" s="40">
        <f t="shared" si="9"/>
        <v>88380</v>
      </c>
      <c r="E123" s="40"/>
      <c r="F123" s="40"/>
      <c r="G123" s="40"/>
      <c r="H123" s="24">
        <f>'4.pielikums'!B109</f>
        <v>88380</v>
      </c>
    </row>
    <row r="124" spans="1:8" ht="30" customHeight="1">
      <c r="A124" s="49"/>
      <c r="B124" s="43" t="s">
        <v>25</v>
      </c>
      <c r="C124" s="48"/>
      <c r="D124" s="40">
        <f t="shared" si="9"/>
        <v>51924</v>
      </c>
      <c r="E124" s="40">
        <f>220</f>
        <v>220</v>
      </c>
      <c r="F124" s="40"/>
      <c r="G124" s="40"/>
      <c r="H124" s="24">
        <f>'4.pielikums'!B110</f>
        <v>52144</v>
      </c>
    </row>
    <row r="125" spans="1:8" ht="30" customHeight="1">
      <c r="A125" s="49"/>
      <c r="B125" s="19" t="s">
        <v>333</v>
      </c>
      <c r="C125" s="48"/>
      <c r="D125" s="40">
        <f t="shared" si="9"/>
        <v>8857</v>
      </c>
      <c r="E125" s="40"/>
      <c r="F125" s="40"/>
      <c r="G125" s="40"/>
      <c r="H125" s="24">
        <f>'4.pielikums'!B111</f>
        <v>8857</v>
      </c>
    </row>
    <row r="126" spans="1:8" ht="15" customHeight="1">
      <c r="A126" s="49"/>
      <c r="B126" s="52" t="s">
        <v>140</v>
      </c>
      <c r="C126" s="48"/>
      <c r="D126" s="40">
        <f t="shared" si="9"/>
        <v>199351</v>
      </c>
      <c r="E126" s="40">
        <f>200+1000</f>
        <v>1200</v>
      </c>
      <c r="F126" s="40"/>
      <c r="G126" s="40"/>
      <c r="H126" s="24">
        <f>'4.pielikums'!B112</f>
        <v>200551</v>
      </c>
    </row>
    <row r="127" spans="1:8" ht="15" customHeight="1">
      <c r="A127" s="49"/>
      <c r="B127" s="19" t="s">
        <v>334</v>
      </c>
      <c r="C127" s="48"/>
      <c r="D127" s="40">
        <f t="shared" si="9"/>
        <v>3807</v>
      </c>
      <c r="E127" s="40">
        <f>350+270+2590</f>
        <v>3210</v>
      </c>
      <c r="F127" s="40"/>
      <c r="G127" s="40"/>
      <c r="H127" s="24">
        <f>'4.pielikums'!B113</f>
        <v>7017</v>
      </c>
    </row>
    <row r="128" spans="1:8" ht="15" customHeight="1">
      <c r="A128" s="49"/>
      <c r="B128" s="43" t="s">
        <v>26</v>
      </c>
      <c r="C128" s="48"/>
      <c r="D128" s="40">
        <f t="shared" si="9"/>
        <v>76830</v>
      </c>
      <c r="E128" s="40">
        <f>2986+10347+650</f>
        <v>13983</v>
      </c>
      <c r="F128" s="40"/>
      <c r="G128" s="40"/>
      <c r="H128" s="24">
        <f>'4.pielikums'!B114</f>
        <v>90813</v>
      </c>
    </row>
    <row r="129" spans="1:8" ht="30" customHeight="1">
      <c r="A129" s="49"/>
      <c r="B129" s="43" t="s">
        <v>27</v>
      </c>
      <c r="C129" s="48"/>
      <c r="D129" s="40">
        <f t="shared" si="9"/>
        <v>45796</v>
      </c>
      <c r="E129" s="40"/>
      <c r="F129" s="40"/>
      <c r="G129" s="40"/>
      <c r="H129" s="24">
        <f>'4.pielikums'!B115</f>
        <v>45796</v>
      </c>
    </row>
    <row r="130" spans="1:8" ht="15" customHeight="1">
      <c r="A130" s="49"/>
      <c r="B130" s="19" t="s">
        <v>191</v>
      </c>
      <c r="C130" s="48"/>
      <c r="D130" s="40">
        <f t="shared" si="9"/>
        <v>698</v>
      </c>
      <c r="E130" s="40">
        <f>280+3500</f>
        <v>3780</v>
      </c>
      <c r="F130" s="40"/>
      <c r="G130" s="40"/>
      <c r="H130" s="24">
        <f>'4.pielikums'!B116</f>
        <v>4478</v>
      </c>
    </row>
    <row r="131" spans="1:8" ht="15" customHeight="1">
      <c r="A131" s="49"/>
      <c r="B131" s="43" t="s">
        <v>28</v>
      </c>
      <c r="C131" s="48"/>
      <c r="D131" s="40">
        <f t="shared" si="9"/>
        <v>90752</v>
      </c>
      <c r="E131" s="40">
        <f>120+66+550</f>
        <v>736</v>
      </c>
      <c r="F131" s="40"/>
      <c r="G131" s="40"/>
      <c r="H131" s="24">
        <f>'4.pielikums'!B117</f>
        <v>91488</v>
      </c>
    </row>
    <row r="132" spans="1:8" ht="30" customHeight="1">
      <c r="A132" s="49"/>
      <c r="B132" s="19" t="s">
        <v>174</v>
      </c>
      <c r="C132" s="48"/>
      <c r="D132" s="40">
        <f t="shared" si="9"/>
        <v>16391</v>
      </c>
      <c r="E132" s="40">
        <v>17000</v>
      </c>
      <c r="F132" s="40"/>
      <c r="G132" s="40"/>
      <c r="H132" s="24">
        <f>'4.pielikums'!B120</f>
        <v>33391</v>
      </c>
    </row>
    <row r="133" spans="1:8" ht="30" customHeight="1">
      <c r="A133" s="49"/>
      <c r="B133" s="19" t="s">
        <v>116</v>
      </c>
      <c r="C133" s="48"/>
      <c r="D133" s="40">
        <f t="shared" si="9"/>
        <v>0</v>
      </c>
      <c r="E133" s="40">
        <v>7500</v>
      </c>
      <c r="F133" s="40"/>
      <c r="G133" s="40"/>
      <c r="H133" s="24">
        <f>'4.pielikums'!B121</f>
        <v>7500</v>
      </c>
    </row>
    <row r="134" spans="1:8" ht="30" customHeight="1">
      <c r="A134" s="49"/>
      <c r="B134" s="19" t="s">
        <v>120</v>
      </c>
      <c r="C134" s="48"/>
      <c r="D134" s="40">
        <f t="shared" si="9"/>
        <v>0</v>
      </c>
      <c r="E134" s="40">
        <f>1000</f>
        <v>1000</v>
      </c>
      <c r="F134" s="40"/>
      <c r="G134" s="40"/>
      <c r="H134" s="24">
        <f>'4.pielikums'!B122</f>
        <v>1000</v>
      </c>
    </row>
    <row r="135" spans="1:8" ht="30" customHeight="1">
      <c r="A135" s="49"/>
      <c r="B135" s="19" t="s">
        <v>117</v>
      </c>
      <c r="C135" s="48"/>
      <c r="D135" s="40">
        <f t="shared" si="9"/>
        <v>0</v>
      </c>
      <c r="E135" s="40">
        <f>2100+7727</f>
        <v>9827</v>
      </c>
      <c r="F135" s="40"/>
      <c r="G135" s="40"/>
      <c r="H135" s="24">
        <f>'4.pielikums'!B123</f>
        <v>9827</v>
      </c>
    </row>
    <row r="136" spans="1:8" ht="30" customHeight="1">
      <c r="A136" s="49"/>
      <c r="B136" s="19" t="s">
        <v>118</v>
      </c>
      <c r="C136" s="48"/>
      <c r="D136" s="40">
        <f t="shared" si="9"/>
        <v>0</v>
      </c>
      <c r="E136" s="40">
        <v>3200</v>
      </c>
      <c r="F136" s="40"/>
      <c r="G136" s="40"/>
      <c r="H136" s="24">
        <f>'4.pielikums'!B124</f>
        <v>3200</v>
      </c>
    </row>
    <row r="137" spans="1:8" ht="30" customHeight="1">
      <c r="A137" s="49"/>
      <c r="B137" s="43" t="s">
        <v>627</v>
      </c>
      <c r="C137" s="48"/>
      <c r="D137" s="40">
        <f t="shared" si="9"/>
        <v>129108</v>
      </c>
      <c r="E137" s="40"/>
      <c r="F137" s="40"/>
      <c r="G137" s="40"/>
      <c r="H137" s="24">
        <f>'4.pielikums'!B125</f>
        <v>129108</v>
      </c>
    </row>
    <row r="138" spans="1:8" ht="30" customHeight="1">
      <c r="A138" s="49"/>
      <c r="B138" s="19" t="s">
        <v>102</v>
      </c>
      <c r="C138" s="48"/>
      <c r="D138" s="40">
        <f t="shared" si="9"/>
        <v>17596</v>
      </c>
      <c r="E138" s="40"/>
      <c r="F138" s="40"/>
      <c r="G138" s="40"/>
      <c r="H138" s="24">
        <f>'4.pielikums'!B126</f>
        <v>17596</v>
      </c>
    </row>
    <row r="139" spans="1:8" ht="30" customHeight="1">
      <c r="A139" s="49"/>
      <c r="B139" s="19" t="s">
        <v>98</v>
      </c>
      <c r="C139" s="48"/>
      <c r="D139" s="40">
        <f t="shared" si="9"/>
        <v>16233</v>
      </c>
      <c r="E139" s="40"/>
      <c r="F139" s="40"/>
      <c r="G139" s="40"/>
      <c r="H139" s="24">
        <f>'4.pielikums'!B127</f>
        <v>16233</v>
      </c>
    </row>
    <row r="140" spans="1:8" ht="30" customHeight="1">
      <c r="A140" s="49"/>
      <c r="B140" s="19" t="s">
        <v>104</v>
      </c>
      <c r="C140" s="48"/>
      <c r="D140" s="40">
        <f t="shared" si="9"/>
        <v>25217</v>
      </c>
      <c r="E140" s="40">
        <f>400</f>
        <v>400</v>
      </c>
      <c r="F140" s="40"/>
      <c r="G140" s="40"/>
      <c r="H140" s="24">
        <f>'4.pielikums'!B128</f>
        <v>25617</v>
      </c>
    </row>
    <row r="141" spans="1:8" ht="30" customHeight="1">
      <c r="A141" s="49"/>
      <c r="B141" s="19" t="s">
        <v>335</v>
      </c>
      <c r="C141" s="48"/>
      <c r="D141" s="40">
        <f t="shared" si="9"/>
        <v>19871</v>
      </c>
      <c r="E141" s="40"/>
      <c r="F141" s="40"/>
      <c r="G141" s="40"/>
      <c r="H141" s="24">
        <f>'4.pielikums'!B129</f>
        <v>19871</v>
      </c>
    </row>
    <row r="142" spans="1:8" ht="30" customHeight="1">
      <c r="A142" s="49"/>
      <c r="B142" s="19" t="s">
        <v>114</v>
      </c>
      <c r="C142" s="48"/>
      <c r="D142" s="40">
        <f t="shared" si="11" ref="D142">=H142-E142-G142-F142-C142</f>
        <v>24403</v>
      </c>
      <c r="E142" s="40"/>
      <c r="F142" s="40"/>
      <c r="G142" s="40"/>
      <c r="H142" s="24">
        <f>'4.pielikums'!B130</f>
        <v>24403</v>
      </c>
    </row>
    <row r="143" spans="1:8" ht="15" customHeight="1">
      <c r="A143" s="49"/>
      <c r="B143" s="19" t="s">
        <v>119</v>
      </c>
      <c r="C143" s="48"/>
      <c r="D143" s="40">
        <f t="shared" si="9"/>
        <v>205684</v>
      </c>
      <c r="E143" s="40">
        <f>900+1400</f>
        <v>2300</v>
      </c>
      <c r="F143" s="40"/>
      <c r="G143" s="40"/>
      <c r="H143" s="24">
        <f>'4.pielikums'!B131</f>
        <v>207984</v>
      </c>
    </row>
    <row r="144" spans="1:8" ht="30" customHeight="1">
      <c r="A144" s="49"/>
      <c r="B144" s="19" t="s">
        <v>237</v>
      </c>
      <c r="C144" s="48"/>
      <c r="D144" s="40">
        <f t="shared" si="9"/>
        <v>32483</v>
      </c>
      <c r="E144" s="40">
        <f>17608</f>
        <v>17608</v>
      </c>
      <c r="F144" s="40"/>
      <c r="G144" s="40"/>
      <c r="H144" s="24">
        <f>'4.pielikums'!B132</f>
        <v>50091</v>
      </c>
    </row>
    <row r="145" spans="1:8" ht="30" customHeight="1">
      <c r="A145" s="49"/>
      <c r="B145" s="19" t="s">
        <v>109</v>
      </c>
      <c r="C145" s="48"/>
      <c r="D145" s="40">
        <f t="shared" si="9"/>
        <v>64282</v>
      </c>
      <c r="E145" s="40">
        <f>35161</f>
        <v>35161</v>
      </c>
      <c r="F145" s="40"/>
      <c r="G145" s="40"/>
      <c r="H145" s="24">
        <f>'4.pielikums'!B133</f>
        <v>99443</v>
      </c>
    </row>
    <row r="146" spans="1:8" ht="30" customHeight="1">
      <c r="A146" s="49"/>
      <c r="B146" s="19" t="s">
        <v>336</v>
      </c>
      <c r="C146" s="48"/>
      <c r="D146" s="40">
        <f t="shared" si="9"/>
        <v>24514</v>
      </c>
      <c r="E146" s="40">
        <v>15050</v>
      </c>
      <c r="F146" s="40"/>
      <c r="G146" s="40"/>
      <c r="H146" s="24">
        <f>'4.pielikums'!B134</f>
        <v>39564</v>
      </c>
    </row>
    <row r="147" spans="1:8" ht="15" customHeight="1">
      <c r="A147" s="49"/>
      <c r="B147" s="19" t="s">
        <v>252</v>
      </c>
      <c r="C147" s="48"/>
      <c r="D147" s="40">
        <f t="shared" si="9"/>
        <v>30292</v>
      </c>
      <c r="E147" s="40">
        <v>25940</v>
      </c>
      <c r="F147" s="40"/>
      <c r="G147" s="40"/>
      <c r="H147" s="24">
        <f>'4.pielikums'!B135</f>
        <v>56232</v>
      </c>
    </row>
    <row r="148" spans="1:8" ht="30" customHeight="1">
      <c r="A148" s="49"/>
      <c r="B148" s="19" t="s">
        <v>111</v>
      </c>
      <c r="C148" s="48"/>
      <c r="D148" s="40">
        <f t="shared" si="9"/>
        <v>17275</v>
      </c>
      <c r="E148" s="40">
        <v>9000</v>
      </c>
      <c r="F148" s="40"/>
      <c r="G148" s="40"/>
      <c r="H148" s="24">
        <f>'4.pielikums'!B136</f>
        <v>26275</v>
      </c>
    </row>
    <row r="149" spans="1:8" ht="30" customHeight="1">
      <c r="A149" s="49"/>
      <c r="B149" s="19" t="s">
        <v>99</v>
      </c>
      <c r="C149" s="48"/>
      <c r="D149" s="40">
        <f t="shared" si="9"/>
        <v>9995</v>
      </c>
      <c r="E149" s="40">
        <v>69000</v>
      </c>
      <c r="F149" s="40"/>
      <c r="G149" s="40"/>
      <c r="H149" s="24">
        <f>'4.pielikums'!B137</f>
        <v>78995</v>
      </c>
    </row>
    <row r="150" spans="1:8" ht="15" customHeight="1">
      <c r="A150" s="49"/>
      <c r="B150" s="19" t="s">
        <v>101</v>
      </c>
      <c r="C150" s="48"/>
      <c r="D150" s="40">
        <f t="shared" si="9"/>
        <v>38125</v>
      </c>
      <c r="E150" s="40">
        <f>59000</f>
        <v>59000</v>
      </c>
      <c r="F150" s="40"/>
      <c r="G150" s="40"/>
      <c r="H150" s="24">
        <f>'4.pielikums'!B138</f>
        <v>97125</v>
      </c>
    </row>
    <row r="151" spans="1:8" ht="15" customHeight="1">
      <c r="A151" s="49"/>
      <c r="B151" s="50" t="s">
        <v>197</v>
      </c>
      <c r="C151" s="48"/>
      <c r="D151" s="40">
        <f t="shared" si="9"/>
        <v>343</v>
      </c>
      <c r="E151" s="40">
        <f>2500</f>
        <v>2500</v>
      </c>
      <c r="F151" s="40"/>
      <c r="G151" s="40"/>
      <c r="H151" s="24">
        <f>'4.pielikums'!B139</f>
        <v>2843</v>
      </c>
    </row>
    <row r="152" spans="1:8" ht="15" customHeight="1">
      <c r="A152" s="49"/>
      <c r="B152" s="50" t="s">
        <v>196</v>
      </c>
      <c r="C152" s="48"/>
      <c r="D152" s="40">
        <f t="shared" si="9"/>
        <v>3781</v>
      </c>
      <c r="E152" s="40">
        <f>8803</f>
        <v>8803</v>
      </c>
      <c r="F152" s="40"/>
      <c r="G152" s="40"/>
      <c r="H152" s="24">
        <f>'4.pielikums'!B140</f>
        <v>12584</v>
      </c>
    </row>
    <row r="153" spans="1:8" ht="30" customHeight="1">
      <c r="A153" s="49"/>
      <c r="B153" s="19" t="s">
        <v>613</v>
      </c>
      <c r="C153" s="48"/>
      <c r="D153" s="40">
        <f t="shared" si="9"/>
        <v>122</v>
      </c>
      <c r="E153" s="40">
        <v>2500</v>
      </c>
      <c r="F153" s="40"/>
      <c r="G153" s="40"/>
      <c r="H153" s="24">
        <f>'4.pielikums'!B141</f>
        <v>2622</v>
      </c>
    </row>
    <row r="154" spans="1:8" ht="15" customHeight="1">
      <c r="A154" s="49"/>
      <c r="B154" s="19" t="s">
        <v>250</v>
      </c>
      <c r="C154" s="48"/>
      <c r="D154" s="40">
        <f>H154-E154-G154-F154-C154</f>
        <v>1969</v>
      </c>
      <c r="E154" s="40">
        <f>2800</f>
        <v>2800</v>
      </c>
      <c r="F154" s="40"/>
      <c r="G154" s="40"/>
      <c r="H154" s="24">
        <f>'4.pielikums'!B142</f>
        <v>4769</v>
      </c>
    </row>
    <row r="155" spans="1:8" ht="30" customHeight="1">
      <c r="A155" s="49"/>
      <c r="B155" s="19" t="s">
        <v>614</v>
      </c>
      <c r="C155" s="48"/>
      <c r="D155" s="40">
        <f>H155-E155-G155-F155-C155</f>
        <v>3768</v>
      </c>
      <c r="E155" s="40">
        <v>3000</v>
      </c>
      <c r="F155" s="40"/>
      <c r="G155" s="40"/>
      <c r="H155" s="24">
        <f>'4.pielikums'!B143</f>
        <v>6768</v>
      </c>
    </row>
    <row r="156" spans="1:8" ht="15" customHeight="1">
      <c r="A156" s="49"/>
      <c r="B156" s="19" t="s">
        <v>236</v>
      </c>
      <c r="C156" s="48"/>
      <c r="D156" s="40">
        <f t="shared" si="9"/>
        <v>346</v>
      </c>
      <c r="E156" s="40">
        <f>3445</f>
        <v>3445</v>
      </c>
      <c r="F156" s="40"/>
      <c r="G156" s="40"/>
      <c r="H156" s="24">
        <f>'4.pielikums'!B144</f>
        <v>3791</v>
      </c>
    </row>
    <row r="157" spans="1:8" ht="15" customHeight="1">
      <c r="A157" s="49"/>
      <c r="B157" s="19" t="s">
        <v>239</v>
      </c>
      <c r="C157" s="48"/>
      <c r="D157" s="40">
        <f t="shared" si="9"/>
        <v>516</v>
      </c>
      <c r="E157" s="40">
        <f>4832</f>
        <v>4832</v>
      </c>
      <c r="F157" s="40"/>
      <c r="G157" s="40"/>
      <c r="H157" s="24">
        <f>'4.pielikums'!B145</f>
        <v>5348</v>
      </c>
    </row>
    <row r="158" spans="1:8" ht="30" customHeight="1">
      <c r="A158" s="49"/>
      <c r="B158" s="19" t="s">
        <v>110</v>
      </c>
      <c r="C158" s="48"/>
      <c r="D158" s="40">
        <f t="shared" si="9"/>
        <v>7546</v>
      </c>
      <c r="E158" s="40">
        <f>6200</f>
        <v>6200</v>
      </c>
      <c r="F158" s="40"/>
      <c r="G158" s="40"/>
      <c r="H158" s="24">
        <f>'4.pielikums'!B146</f>
        <v>13746</v>
      </c>
    </row>
    <row r="159" spans="1:8" ht="15" customHeight="1">
      <c r="A159" s="49"/>
      <c r="B159" s="47" t="s">
        <v>141</v>
      </c>
      <c r="C159" s="48"/>
      <c r="D159" s="40">
        <f t="shared" si="9"/>
        <v>860</v>
      </c>
      <c r="E159" s="40">
        <f>2900+5337</f>
        <v>8237</v>
      </c>
      <c r="F159" s="40"/>
      <c r="G159" s="40"/>
      <c r="H159" s="24">
        <f>'4.pielikums'!B147</f>
        <v>9097</v>
      </c>
    </row>
    <row r="160" spans="1:8" ht="30" customHeight="1">
      <c r="A160" s="49"/>
      <c r="B160" s="19" t="s">
        <v>615</v>
      </c>
      <c r="C160" s="48"/>
      <c r="D160" s="40">
        <f t="shared" si="9"/>
        <v>83</v>
      </c>
      <c r="E160" s="40">
        <v>2700</v>
      </c>
      <c r="F160" s="40"/>
      <c r="G160" s="40"/>
      <c r="H160" s="24">
        <f>'4.pielikums'!B148</f>
        <v>2783</v>
      </c>
    </row>
    <row r="161" spans="1:8" ht="30" customHeight="1">
      <c r="A161" s="49"/>
      <c r="B161" s="19" t="s">
        <v>103</v>
      </c>
      <c r="C161" s="48"/>
      <c r="D161" s="40">
        <f t="shared" si="9"/>
        <v>724</v>
      </c>
      <c r="E161" s="40">
        <f>4589</f>
        <v>4589</v>
      </c>
      <c r="F161" s="40"/>
      <c r="G161" s="40"/>
      <c r="H161" s="24">
        <f>'4.pielikums'!B149</f>
        <v>5313</v>
      </c>
    </row>
    <row r="162" spans="1:8" ht="15" customHeight="1">
      <c r="A162" s="49"/>
      <c r="B162" s="19" t="s">
        <v>107</v>
      </c>
      <c r="C162" s="48"/>
      <c r="D162" s="40">
        <f t="shared" si="9"/>
        <v>309</v>
      </c>
      <c r="E162" s="40">
        <f>2668</f>
        <v>2668</v>
      </c>
      <c r="F162" s="40"/>
      <c r="G162" s="40"/>
      <c r="H162" s="24">
        <f>'4.pielikums'!B150</f>
        <v>2977</v>
      </c>
    </row>
    <row r="163" spans="1:8" ht="15" customHeight="1">
      <c r="A163" s="49"/>
      <c r="B163" s="47" t="s">
        <v>142</v>
      </c>
      <c r="C163" s="48"/>
      <c r="D163" s="40">
        <f t="shared" si="9"/>
        <v>716</v>
      </c>
      <c r="E163" s="40">
        <f>8530</f>
        <v>8530</v>
      </c>
      <c r="F163" s="40"/>
      <c r="G163" s="40"/>
      <c r="H163" s="24">
        <f>'4.pielikums'!B151</f>
        <v>9246</v>
      </c>
    </row>
    <row r="164" spans="1:8" ht="15" customHeight="1">
      <c r="A164" s="49"/>
      <c r="B164" s="19" t="s">
        <v>108</v>
      </c>
      <c r="C164" s="48"/>
      <c r="D164" s="40">
        <f t="shared" si="9"/>
        <v>0</v>
      </c>
      <c r="E164" s="40">
        <v>2490</v>
      </c>
      <c r="F164" s="40"/>
      <c r="G164" s="40"/>
      <c r="H164" s="24">
        <f>'4.pielikums'!B152</f>
        <v>2490</v>
      </c>
    </row>
    <row r="165" spans="1:8" ht="15" customHeight="1">
      <c r="A165" s="49"/>
      <c r="B165" s="19" t="s">
        <v>253</v>
      </c>
      <c r="C165" s="48"/>
      <c r="D165" s="40">
        <f t="shared" si="9"/>
        <v>0</v>
      </c>
      <c r="E165" s="40">
        <v>8746</v>
      </c>
      <c r="F165" s="40"/>
      <c r="G165" s="40"/>
      <c r="H165" s="24">
        <f>'4.pielikums'!B153</f>
        <v>8746</v>
      </c>
    </row>
    <row r="166" spans="1:8" ht="15" customHeight="1">
      <c r="A166" s="49"/>
      <c r="B166" s="19" t="s">
        <v>611</v>
      </c>
      <c r="C166" s="48"/>
      <c r="D166" s="40">
        <f t="shared" si="9"/>
        <v>0</v>
      </c>
      <c r="E166" s="40">
        <v>2300</v>
      </c>
      <c r="F166" s="40"/>
      <c r="G166" s="40"/>
      <c r="H166" s="24">
        <f>'4.pielikums'!B155</f>
        <v>2300</v>
      </c>
    </row>
    <row r="167" spans="1:8" ht="15" customHeight="1">
      <c r="A167" s="49"/>
      <c r="B167" s="19" t="s">
        <v>105</v>
      </c>
      <c r="C167" s="48"/>
      <c r="D167" s="40">
        <f t="shared" si="9"/>
        <v>0</v>
      </c>
      <c r="E167" s="40">
        <f>2315</f>
        <v>2315</v>
      </c>
      <c r="F167" s="40"/>
      <c r="G167" s="40"/>
      <c r="H167" s="24">
        <f>'4.pielikums'!B154</f>
        <v>2315</v>
      </c>
    </row>
    <row r="168" spans="1:8" ht="15" customHeight="1">
      <c r="A168" s="49"/>
      <c r="B168" s="19" t="s">
        <v>113</v>
      </c>
      <c r="C168" s="48"/>
      <c r="D168" s="40">
        <f t="shared" si="9"/>
        <v>1774</v>
      </c>
      <c r="E168" s="40">
        <f>2200</f>
        <v>2200</v>
      </c>
      <c r="F168" s="40"/>
      <c r="G168" s="40"/>
      <c r="H168" s="24">
        <f>'4.pielikums'!B156</f>
        <v>3974</v>
      </c>
    </row>
    <row r="169" spans="1:8" ht="30" customHeight="1">
      <c r="A169" s="49"/>
      <c r="B169" s="19" t="s">
        <v>100</v>
      </c>
      <c r="C169" s="48"/>
      <c r="D169" s="40">
        <f t="shared" si="9"/>
        <v>18580</v>
      </c>
      <c r="E169" s="40">
        <f>15900</f>
        <v>15900</v>
      </c>
      <c r="F169" s="40"/>
      <c r="G169" s="40"/>
      <c r="H169" s="24">
        <f>'4.pielikums'!B157</f>
        <v>34480</v>
      </c>
    </row>
    <row r="170" spans="1:8" ht="30" customHeight="1">
      <c r="A170" s="49"/>
      <c r="B170" s="19" t="s">
        <v>612</v>
      </c>
      <c r="C170" s="48"/>
      <c r="D170" s="40">
        <f t="shared" si="9"/>
        <v>5</v>
      </c>
      <c r="E170" s="40">
        <v>2835</v>
      </c>
      <c r="F170" s="40"/>
      <c r="G170" s="40"/>
      <c r="H170" s="24">
        <f>'4.pielikums'!B158</f>
        <v>2840</v>
      </c>
    </row>
    <row r="171" spans="1:8" ht="15" customHeight="1">
      <c r="A171" s="49"/>
      <c r="B171" s="19" t="s">
        <v>337</v>
      </c>
      <c r="C171" s="48"/>
      <c r="D171" s="40">
        <f t="shared" si="9"/>
        <v>4656</v>
      </c>
      <c r="E171" s="40">
        <f>8308</f>
        <v>8308</v>
      </c>
      <c r="F171" s="40"/>
      <c r="G171" s="40"/>
      <c r="H171" s="24">
        <f>'4.pielikums'!B159</f>
        <v>12964</v>
      </c>
    </row>
    <row r="172" spans="1:8" ht="30" customHeight="1">
      <c r="A172" s="49"/>
      <c r="B172" s="52" t="s">
        <v>138</v>
      </c>
      <c r="C172" s="48"/>
      <c r="D172" s="40">
        <f t="shared" si="9"/>
        <v>26000</v>
      </c>
      <c r="E172" s="40"/>
      <c r="F172" s="40"/>
      <c r="G172" s="40"/>
      <c r="H172" s="24">
        <f>'4.pielikums'!B160</f>
        <v>26000</v>
      </c>
    </row>
    <row r="173" spans="1:8" ht="30" customHeight="1">
      <c r="A173" s="49"/>
      <c r="B173" s="52" t="s">
        <v>594</v>
      </c>
      <c r="C173" s="48"/>
      <c r="D173" s="40">
        <f t="shared" si="9"/>
        <v>113</v>
      </c>
      <c r="E173" s="40"/>
      <c r="F173" s="40">
        <f>45466+42157</f>
        <v>87623</v>
      </c>
      <c r="G173" s="40"/>
      <c r="H173" s="24">
        <f>'4.pielikums'!B307</f>
        <v>87736</v>
      </c>
    </row>
    <row r="174" spans="1:8" ht="15" customHeight="1">
      <c r="A174" s="49"/>
      <c r="B174" s="52" t="s">
        <v>178</v>
      </c>
      <c r="C174" s="48"/>
      <c r="D174" s="40">
        <f t="shared" si="9"/>
        <v>100000</v>
      </c>
      <c r="E174" s="40"/>
      <c r="F174" s="40"/>
      <c r="G174" s="40"/>
      <c r="H174" s="24">
        <f>'4.pielikums'!B308</f>
        <v>100000</v>
      </c>
    </row>
    <row r="175" spans="1:8" ht="15" customHeight="1">
      <c r="A175" s="1" t="s">
        <v>286</v>
      </c>
      <c r="B175" s="38" t="s">
        <v>287</v>
      </c>
      <c r="C175" s="39">
        <f>SUM(C176:C189)</f>
        <v>37734</v>
      </c>
      <c r="D175" s="39">
        <f>SUM(D176:D189)</f>
        <v>26918</v>
      </c>
      <c r="E175" s="39">
        <f>SUM(E176:E189)</f>
        <v>451</v>
      </c>
      <c r="F175" s="39">
        <f>SUM(F176:F189)</f>
        <v>159109</v>
      </c>
      <c r="G175" s="39">
        <f t="shared" si="12" ref="G175">=SUM(G176:G189)</f>
        <v>0</v>
      </c>
      <c r="H175" s="24">
        <f>SUM(H176:H189)</f>
        <v>224212</v>
      </c>
    </row>
    <row r="176" spans="1:8" ht="15" customHeight="1">
      <c r="A176" s="49"/>
      <c r="B176" s="43" t="s">
        <v>288</v>
      </c>
      <c r="C176" s="48"/>
      <c r="D176" s="40">
        <f t="shared" si="9"/>
        <v>4427</v>
      </c>
      <c r="E176" s="40">
        <f>200</f>
        <v>200</v>
      </c>
      <c r="F176" s="40">
        <v>10487</v>
      </c>
      <c r="G176" s="40"/>
      <c r="H176" s="24">
        <f>'4.pielikums'!B161</f>
        <v>15114</v>
      </c>
    </row>
    <row r="177" spans="1:8" ht="15" customHeight="1">
      <c r="A177" s="49"/>
      <c r="B177" s="43" t="s">
        <v>289</v>
      </c>
      <c r="C177" s="48"/>
      <c r="D177" s="40">
        <f t="shared" si="9"/>
        <v>3010</v>
      </c>
      <c r="E177" s="40">
        <f>60</f>
        <v>60</v>
      </c>
      <c r="F177" s="40">
        <v>10487</v>
      </c>
      <c r="G177" s="40"/>
      <c r="H177" s="24">
        <f>'4.pielikums'!B162</f>
        <v>13557</v>
      </c>
    </row>
    <row r="178" spans="1:8" ht="15" customHeight="1">
      <c r="A178" s="49"/>
      <c r="B178" s="43" t="s">
        <v>290</v>
      </c>
      <c r="C178" s="48"/>
      <c r="D178" s="40">
        <f t="shared" si="13" ref="D178:D189">=H178-E178-G178-F178-C178</f>
        <v>1463</v>
      </c>
      <c r="E178" s="40">
        <f>70</f>
        <v>70</v>
      </c>
      <c r="F178" s="40">
        <v>10487</v>
      </c>
      <c r="G178" s="40"/>
      <c r="H178" s="24">
        <f>'4.pielikums'!B163</f>
        <v>12020</v>
      </c>
    </row>
    <row r="179" spans="1:8" ht="15" customHeight="1">
      <c r="A179" s="49"/>
      <c r="B179" s="43" t="s">
        <v>144</v>
      </c>
      <c r="C179" s="48"/>
      <c r="D179" s="40">
        <f t="shared" si="13"/>
        <v>774</v>
      </c>
      <c r="E179" s="40"/>
      <c r="F179" s="40">
        <v>10487</v>
      </c>
      <c r="G179" s="40"/>
      <c r="H179" s="24">
        <f>'4.pielikums'!B164</f>
        <v>11261</v>
      </c>
    </row>
    <row r="180" spans="1:8" ht="15" customHeight="1">
      <c r="A180" s="49"/>
      <c r="B180" s="43" t="s">
        <v>291</v>
      </c>
      <c r="C180" s="48"/>
      <c r="D180" s="40">
        <f t="shared" si="13"/>
        <v>641</v>
      </c>
      <c r="E180" s="40">
        <f>25</f>
        <v>25</v>
      </c>
      <c r="F180" s="40">
        <v>10487</v>
      </c>
      <c r="G180" s="40"/>
      <c r="H180" s="24">
        <f>'4.pielikums'!B165</f>
        <v>11153</v>
      </c>
    </row>
    <row r="181" spans="1:8" ht="15" customHeight="1">
      <c r="A181" s="49"/>
      <c r="B181" s="43" t="s">
        <v>292</v>
      </c>
      <c r="C181" s="48"/>
      <c r="D181" s="40">
        <f t="shared" si="13"/>
        <v>3170</v>
      </c>
      <c r="E181" s="40"/>
      <c r="F181" s="40">
        <v>10487</v>
      </c>
      <c r="G181" s="40"/>
      <c r="H181" s="24">
        <f>'4.pielikums'!B166</f>
        <v>13657</v>
      </c>
    </row>
    <row r="182" spans="1:8" ht="15" customHeight="1">
      <c r="A182" s="49"/>
      <c r="B182" s="19" t="s">
        <v>293</v>
      </c>
      <c r="C182" s="48"/>
      <c r="D182" s="40">
        <f t="shared" si="13"/>
        <v>4065</v>
      </c>
      <c r="E182" s="40">
        <v>51</v>
      </c>
      <c r="F182" s="40">
        <v>10487</v>
      </c>
      <c r="G182" s="40"/>
      <c r="H182" s="24">
        <f>'4.pielikums'!B167</f>
        <v>14603</v>
      </c>
    </row>
    <row r="183" spans="1:8" ht="15" customHeight="1">
      <c r="A183" s="49"/>
      <c r="B183" s="43" t="s">
        <v>294</v>
      </c>
      <c r="C183" s="48"/>
      <c r="D183" s="40">
        <f t="shared" si="13"/>
        <v>6080</v>
      </c>
      <c r="E183" s="40">
        <f>25</f>
        <v>25</v>
      </c>
      <c r="F183" s="40">
        <v>10487</v>
      </c>
      <c r="G183" s="40"/>
      <c r="H183" s="24">
        <f>'4.pielikums'!B168</f>
        <v>16592</v>
      </c>
    </row>
    <row r="184" spans="1:8" ht="15" customHeight="1">
      <c r="A184" s="49"/>
      <c r="B184" s="43" t="s">
        <v>295</v>
      </c>
      <c r="C184" s="48"/>
      <c r="D184" s="40">
        <f t="shared" si="13"/>
        <v>554</v>
      </c>
      <c r="E184" s="40">
        <f>20</f>
        <v>20</v>
      </c>
      <c r="F184" s="40">
        <v>10487</v>
      </c>
      <c r="G184" s="40"/>
      <c r="H184" s="24">
        <f>'4.pielikums'!B169</f>
        <v>11061</v>
      </c>
    </row>
    <row r="185" spans="1:8" ht="15" customHeight="1">
      <c r="A185" s="49"/>
      <c r="B185" s="45" t="s">
        <v>296</v>
      </c>
      <c r="C185" s="48"/>
      <c r="D185" s="40">
        <f t="shared" si="13"/>
        <v>0</v>
      </c>
      <c r="E185" s="40"/>
      <c r="F185" s="40">
        <v>34886</v>
      </c>
      <c r="G185" s="40"/>
      <c r="H185" s="24">
        <f>'4.pielikums'!B170</f>
        <v>34886</v>
      </c>
    </row>
    <row r="186" spans="1:8" ht="47.1" customHeight="1">
      <c r="A186" s="49"/>
      <c r="B186" s="45" t="s">
        <v>57</v>
      </c>
      <c r="C186" s="48">
        <v>23905</v>
      </c>
      <c r="D186" s="40">
        <f t="shared" si="13"/>
        <v>0</v>
      </c>
      <c r="E186" s="40"/>
      <c r="F186" s="40">
        <v>21620</v>
      </c>
      <c r="G186" s="40"/>
      <c r="H186" s="24">
        <f>'4.pielikums'!B171</f>
        <v>45525</v>
      </c>
    </row>
    <row r="187" spans="1:8" ht="62.1" customHeight="1">
      <c r="A187" s="49"/>
      <c r="B187" s="52" t="s">
        <v>245</v>
      </c>
      <c r="C187" s="48">
        <v>9627</v>
      </c>
      <c r="D187" s="40">
        <f t="shared" si="13"/>
        <v>2085</v>
      </c>
      <c r="E187" s="40"/>
      <c r="F187" s="40">
        <f>4093</f>
        <v>4093</v>
      </c>
      <c r="G187" s="40"/>
      <c r="H187" s="24">
        <f>'4.pielikums'!B172</f>
        <v>15805</v>
      </c>
    </row>
    <row r="188" spans="1:8" ht="15" customHeight="1">
      <c r="A188" s="49"/>
      <c r="B188" s="52" t="s">
        <v>143</v>
      </c>
      <c r="C188" s="48">
        <v>58</v>
      </c>
      <c r="D188" s="40">
        <f t="shared" si="13"/>
        <v>649</v>
      </c>
      <c r="E188" s="40"/>
      <c r="F188" s="40">
        <v>2538</v>
      </c>
      <c r="G188" s="40"/>
      <c r="H188" s="24">
        <f>'4.pielikums'!B173</f>
        <v>3245</v>
      </c>
    </row>
    <row r="189" spans="1:8" ht="45" customHeight="1">
      <c r="A189" s="49"/>
      <c r="B189" s="19" t="s">
        <v>207</v>
      </c>
      <c r="C189" s="48">
        <v>4144</v>
      </c>
      <c r="D189" s="40">
        <f t="shared" si="13"/>
        <v>0</v>
      </c>
      <c r="E189" s="40"/>
      <c r="F189" s="40">
        <v>1589</v>
      </c>
      <c r="G189" s="40"/>
      <c r="H189" s="24">
        <f>'4.pielikums'!B174</f>
        <v>5733</v>
      </c>
    </row>
    <row r="190" spans="1:8" ht="15" customHeight="1">
      <c r="A190" s="1" t="s">
        <v>297</v>
      </c>
      <c r="B190" s="38" t="s">
        <v>559</v>
      </c>
      <c r="C190" s="39">
        <f t="shared" si="14" ref="C190:H190">=C191+C197+C199+C205+C227</f>
        <v>516382</v>
      </c>
      <c r="D190" s="39">
        <f t="shared" si="14"/>
        <v>2379716</v>
      </c>
      <c r="E190" s="39">
        <f t="shared" si="14"/>
        <v>155334</v>
      </c>
      <c r="F190" s="39">
        <f t="shared" si="14"/>
        <v>249147</v>
      </c>
      <c r="G190" s="39">
        <f t="shared" si="14"/>
        <v>1024458</v>
      </c>
      <c r="H190" s="24">
        <f t="shared" si="14"/>
        <v>4325037</v>
      </c>
    </row>
    <row r="191" spans="1:8" ht="15" customHeight="1">
      <c r="A191" s="1"/>
      <c r="B191" s="38" t="s">
        <v>298</v>
      </c>
      <c r="C191" s="39">
        <f t="shared" si="15" ref="C191:G191">=SUM(C192:C194)</f>
        <v>0</v>
      </c>
      <c r="D191" s="39">
        <f>SUM(D192:D195)</f>
        <v>159137</v>
      </c>
      <c r="E191" s="39">
        <f>SUM(E192:E195)</f>
        <v>2985</v>
      </c>
      <c r="F191" s="39">
        <f t="shared" si="15"/>
        <v>0</v>
      </c>
      <c r="G191" s="39">
        <f t="shared" si="15"/>
        <v>0</v>
      </c>
      <c r="H191" s="24">
        <f>SUM(H192:H195)</f>
        <v>162122</v>
      </c>
    </row>
    <row r="192" spans="1:8" ht="15" customHeight="1">
      <c r="A192" s="49"/>
      <c r="B192" s="27" t="s">
        <v>168</v>
      </c>
      <c r="C192" s="58"/>
      <c r="D192" s="40">
        <f t="shared" si="16" ref="D192:D240">=H192-E192-G192-F192-C192</f>
        <v>83744</v>
      </c>
      <c r="E192" s="40"/>
      <c r="F192" s="40"/>
      <c r="G192" s="40"/>
      <c r="H192" s="24">
        <f>'4.pielikums'!B175</f>
        <v>83744</v>
      </c>
    </row>
    <row r="193" spans="1:8" ht="15" customHeight="1">
      <c r="A193" s="49"/>
      <c r="B193" s="43" t="s">
        <v>200</v>
      </c>
      <c r="C193" s="48"/>
      <c r="D193" s="40">
        <f t="shared" si="16"/>
        <v>42155</v>
      </c>
      <c r="E193" s="40">
        <v>1985</v>
      </c>
      <c r="F193" s="40"/>
      <c r="G193" s="40"/>
      <c r="H193" s="24">
        <f>'4.pielikums'!B176</f>
        <v>44140</v>
      </c>
    </row>
    <row r="194" spans="1:8" ht="15" customHeight="1">
      <c r="A194" s="49"/>
      <c r="B194" s="43" t="s">
        <v>221</v>
      </c>
      <c r="C194" s="48"/>
      <c r="D194" s="40">
        <f t="shared" si="16"/>
        <v>22496</v>
      </c>
      <c r="E194" s="40">
        <f>1000</f>
        <v>1000</v>
      </c>
      <c r="F194" s="40"/>
      <c r="G194" s="40"/>
      <c r="H194" s="24">
        <f>'4.pielikums'!B178</f>
        <v>23496</v>
      </c>
    </row>
    <row r="195" spans="1:8" ht="15" customHeight="1">
      <c r="A195" s="49"/>
      <c r="B195" s="52" t="s">
        <v>625</v>
      </c>
      <c r="C195" s="48"/>
      <c r="D195" s="40">
        <f>H195-E195-G195-F195-C195</f>
        <v>10742</v>
      </c>
      <c r="E195" s="40"/>
      <c r="F195" s="40"/>
      <c r="G195" s="40"/>
      <c r="H195" s="24">
        <f>'4.pielikums'!B298</f>
        <v>10742</v>
      </c>
    </row>
    <row r="196" spans="1:8" ht="15" customHeight="1">
      <c r="A196" s="1"/>
      <c r="B196" s="38" t="s">
        <v>300</v>
      </c>
      <c r="C196" s="60"/>
      <c r="D196" s="40"/>
      <c r="E196" s="39"/>
      <c r="F196" s="39"/>
      <c r="G196" s="39"/>
      <c r="H196" s="24"/>
    </row>
    <row r="197" spans="1:8" ht="15" customHeight="1">
      <c r="A197" s="1"/>
      <c r="B197" s="38" t="s">
        <v>301</v>
      </c>
      <c r="C197" s="39">
        <f t="shared" si="17" ref="C197:H197">=SUM(C198:C198)</f>
        <v>0</v>
      </c>
      <c r="D197" s="39">
        <f t="shared" si="17"/>
        <v>518126</v>
      </c>
      <c r="E197" s="39">
        <f t="shared" si="17"/>
        <v>3614</v>
      </c>
      <c r="F197" s="39">
        <f t="shared" si="17"/>
        <v>0</v>
      </c>
      <c r="G197" s="39">
        <f t="shared" si="17"/>
        <v>0</v>
      </c>
      <c r="H197" s="24">
        <f t="shared" si="17"/>
        <v>521740</v>
      </c>
    </row>
    <row r="198" spans="1:8" ht="15" customHeight="1">
      <c r="A198" s="49"/>
      <c r="B198" s="27" t="s">
        <v>31</v>
      </c>
      <c r="C198" s="58"/>
      <c r="D198" s="40">
        <f t="shared" si="16"/>
        <v>518126</v>
      </c>
      <c r="E198" s="40">
        <f>2114+1500</f>
        <v>3614</v>
      </c>
      <c r="F198" s="40"/>
      <c r="G198" s="40"/>
      <c r="H198" s="24">
        <f>'4.pielikums'!B179</f>
        <v>521740</v>
      </c>
    </row>
    <row r="199" spans="1:8" ht="15" customHeight="1">
      <c r="A199" s="1"/>
      <c r="B199" s="38" t="s">
        <v>302</v>
      </c>
      <c r="C199" s="39">
        <f t="shared" si="18" ref="C199:H199">=SUM(C200:C204)</f>
        <v>0</v>
      </c>
      <c r="D199" s="39">
        <f t="shared" si="18"/>
        <v>249594</v>
      </c>
      <c r="E199" s="39">
        <f t="shared" si="18"/>
        <v>12750</v>
      </c>
      <c r="F199" s="39">
        <f t="shared" si="18"/>
        <v>0</v>
      </c>
      <c r="G199" s="39">
        <f t="shared" si="18"/>
        <v>0</v>
      </c>
      <c r="H199" s="24">
        <f t="shared" si="18"/>
        <v>262344</v>
      </c>
    </row>
    <row r="200" spans="1:8" ht="15" customHeight="1">
      <c r="A200" s="49"/>
      <c r="B200" s="27" t="s">
        <v>303</v>
      </c>
      <c r="C200" s="58"/>
      <c r="D200" s="40">
        <f t="shared" si="16"/>
        <v>124574</v>
      </c>
      <c r="E200" s="40">
        <f>2800+1000+6500+100</f>
        <v>10400</v>
      </c>
      <c r="F200" s="40"/>
      <c r="G200" s="40"/>
      <c r="H200" s="24">
        <f>'4.pielikums'!B180</f>
        <v>134974</v>
      </c>
    </row>
    <row r="201" spans="1:8" ht="15" customHeight="1">
      <c r="A201" s="49"/>
      <c r="B201" s="27" t="s">
        <v>145</v>
      </c>
      <c r="C201" s="58"/>
      <c r="D201" s="40">
        <f t="shared" si="16"/>
        <v>53820</v>
      </c>
      <c r="E201" s="40">
        <f>100+100</f>
        <v>200</v>
      </c>
      <c r="F201" s="40"/>
      <c r="G201" s="40"/>
      <c r="H201" s="24">
        <f>'4.pielikums'!B181</f>
        <v>54020</v>
      </c>
    </row>
    <row r="202" spans="1:8" ht="15" customHeight="1">
      <c r="A202" s="49"/>
      <c r="B202" s="52" t="s">
        <v>126</v>
      </c>
      <c r="C202" s="48"/>
      <c r="D202" s="40">
        <f t="shared" si="16"/>
        <v>13729</v>
      </c>
      <c r="E202" s="40"/>
      <c r="F202" s="40"/>
      <c r="G202" s="40"/>
      <c r="H202" s="24">
        <f>'4.pielikums'!B182</f>
        <v>13729</v>
      </c>
    </row>
    <row r="203" spans="1:8" ht="15" customHeight="1">
      <c r="A203" s="49"/>
      <c r="B203" s="19" t="s">
        <v>125</v>
      </c>
      <c r="C203" s="48"/>
      <c r="D203" s="40">
        <f t="shared" si="16"/>
        <v>43490</v>
      </c>
      <c r="E203" s="40">
        <f>350+600</f>
        <v>950</v>
      </c>
      <c r="F203" s="40"/>
      <c r="G203" s="40"/>
      <c r="H203" s="24">
        <f>'4.pielikums'!B183</f>
        <v>44440</v>
      </c>
    </row>
    <row r="204" spans="1:8" ht="30" customHeight="1">
      <c r="A204" s="49"/>
      <c r="B204" s="19" t="s">
        <v>124</v>
      </c>
      <c r="C204" s="48"/>
      <c r="D204" s="40">
        <f t="shared" si="16"/>
        <v>13981</v>
      </c>
      <c r="E204" s="40">
        <f>900+300</f>
        <v>1200</v>
      </c>
      <c r="F204" s="40"/>
      <c r="G204" s="40"/>
      <c r="H204" s="24">
        <f>'4.pielikums'!B184</f>
        <v>15181</v>
      </c>
    </row>
    <row r="205" spans="1:8" ht="15" customHeight="1">
      <c r="A205" s="1"/>
      <c r="B205" s="38" t="s">
        <v>304</v>
      </c>
      <c r="C205" s="39">
        <f>SUM(C206:C226)</f>
        <v>0</v>
      </c>
      <c r="D205" s="39">
        <f>SUM(D206:D226)</f>
        <v>1044748</v>
      </c>
      <c r="E205" s="39">
        <f>SUM(E206:E226)</f>
        <v>126985</v>
      </c>
      <c r="F205" s="39">
        <f t="shared" si="19" ref="F205:G205">=SUM(F206:F226)</f>
        <v>23722</v>
      </c>
      <c r="G205" s="39">
        <f t="shared" si="19"/>
        <v>0</v>
      </c>
      <c r="H205" s="24">
        <f>SUM(H206:H226)</f>
        <v>1195455</v>
      </c>
    </row>
    <row r="206" spans="1:8" ht="15" customHeight="1">
      <c r="A206" s="49"/>
      <c r="B206" s="27" t="s">
        <v>75</v>
      </c>
      <c r="C206" s="58"/>
      <c r="D206" s="40">
        <f t="shared" si="16"/>
        <v>247185</v>
      </c>
      <c r="E206" s="40">
        <f>8193+5000</f>
        <v>13193</v>
      </c>
      <c r="F206" s="40">
        <f>6953</f>
        <v>6953</v>
      </c>
      <c r="G206" s="40"/>
      <c r="H206" s="24">
        <f>'4.pielikums'!B185</f>
        <v>267331</v>
      </c>
    </row>
    <row r="207" spans="1:8" ht="30" customHeight="1">
      <c r="A207" s="49"/>
      <c r="B207" s="43" t="s">
        <v>306</v>
      </c>
      <c r="C207" s="48"/>
      <c r="D207" s="40">
        <f t="shared" si="16"/>
        <v>44956</v>
      </c>
      <c r="E207" s="40">
        <f>66750+200</f>
        <v>66950</v>
      </c>
      <c r="F207" s="40"/>
      <c r="G207" s="40"/>
      <c r="H207" s="24">
        <f>'4.pielikums'!B186</f>
        <v>111906</v>
      </c>
    </row>
    <row r="208" spans="1:8" ht="15" customHeight="1">
      <c r="A208" s="49"/>
      <c r="B208" s="43" t="s">
        <v>644</v>
      </c>
      <c r="C208" s="48"/>
      <c r="D208" s="40">
        <f t="shared" si="16"/>
        <v>45138</v>
      </c>
      <c r="E208" s="40">
        <v>150</v>
      </c>
      <c r="F208" s="40">
        <v>1636</v>
      </c>
      <c r="G208" s="40"/>
      <c r="H208" s="24">
        <f>'4.pielikums'!B187</f>
        <v>46924</v>
      </c>
    </row>
    <row r="209" spans="1:8" ht="15" customHeight="1">
      <c r="A209" s="49"/>
      <c r="B209" s="43" t="s">
        <v>162</v>
      </c>
      <c r="C209" s="48"/>
      <c r="D209" s="40">
        <f t="shared" si="16"/>
        <v>7131</v>
      </c>
      <c r="E209" s="40">
        <v>3400</v>
      </c>
      <c r="F209" s="40"/>
      <c r="G209" s="40"/>
      <c r="H209" s="24">
        <f>'4.pielikums'!B188</f>
        <v>10531</v>
      </c>
    </row>
    <row r="210" spans="1:8" ht="15" customHeight="1">
      <c r="A210" s="49"/>
      <c r="B210" s="27" t="s">
        <v>193</v>
      </c>
      <c r="C210" s="58"/>
      <c r="D210" s="40">
        <f t="shared" si="16"/>
        <v>44098</v>
      </c>
      <c r="E210" s="40">
        <f>50+900</f>
        <v>950</v>
      </c>
      <c r="F210" s="40">
        <f>409</f>
        <v>409</v>
      </c>
      <c r="G210" s="40"/>
      <c r="H210" s="24">
        <f>'4.pielikums'!B189</f>
        <v>45457</v>
      </c>
    </row>
    <row r="211" spans="1:8" ht="15" customHeight="1">
      <c r="A211" s="49"/>
      <c r="B211" s="43" t="s">
        <v>33</v>
      </c>
      <c r="C211" s="48"/>
      <c r="D211" s="40">
        <f t="shared" si="16"/>
        <v>43673</v>
      </c>
      <c r="E211" s="40">
        <f>400</f>
        <v>400</v>
      </c>
      <c r="F211" s="40">
        <f>1227</f>
        <v>1227</v>
      </c>
      <c r="G211" s="40"/>
      <c r="H211" s="24">
        <f>'4.pielikums'!B190</f>
        <v>45300</v>
      </c>
    </row>
    <row r="212" spans="1:8" ht="15" customHeight="1">
      <c r="A212" s="49"/>
      <c r="B212" s="27" t="s">
        <v>34</v>
      </c>
      <c r="C212" s="58"/>
      <c r="D212" s="40">
        <f t="shared" si="16"/>
        <v>29792</v>
      </c>
      <c r="E212" s="40">
        <f>100+100</f>
        <v>200</v>
      </c>
      <c r="F212" s="40"/>
      <c r="G212" s="40"/>
      <c r="H212" s="24">
        <f>'4.pielikums'!B191</f>
        <v>29992</v>
      </c>
    </row>
    <row r="213" spans="1:8" ht="15" customHeight="1">
      <c r="A213" s="49"/>
      <c r="B213" s="27" t="s">
        <v>643</v>
      </c>
      <c r="C213" s="58"/>
      <c r="D213" s="40">
        <f t="shared" si="16"/>
        <v>56917</v>
      </c>
      <c r="E213" s="40">
        <f>350+2467</f>
        <v>2817</v>
      </c>
      <c r="F213" s="40"/>
      <c r="G213" s="40"/>
      <c r="H213" s="24">
        <f>'4.pielikums'!B192</f>
        <v>59734</v>
      </c>
    </row>
    <row r="214" spans="1:8" ht="15" customHeight="1">
      <c r="A214" s="49"/>
      <c r="B214" s="43" t="s">
        <v>632</v>
      </c>
      <c r="C214" s="48"/>
      <c r="D214" s="40">
        <f t="shared" si="16"/>
        <v>44004</v>
      </c>
      <c r="E214" s="40">
        <f>100+4350</f>
        <v>4450</v>
      </c>
      <c r="F214" s="40">
        <v>409</v>
      </c>
      <c r="G214" s="40"/>
      <c r="H214" s="24">
        <f>'4.pielikums'!B193</f>
        <v>48863</v>
      </c>
    </row>
    <row r="215" spans="1:8" ht="15" customHeight="1">
      <c r="A215" s="49"/>
      <c r="B215" s="27" t="s">
        <v>192</v>
      </c>
      <c r="C215" s="58"/>
      <c r="D215" s="40">
        <f t="shared" si="16"/>
        <v>13032</v>
      </c>
      <c r="E215" s="40">
        <f>50+150</f>
        <v>200</v>
      </c>
      <c r="F215" s="40"/>
      <c r="G215" s="40"/>
      <c r="H215" s="24">
        <f>'4.pielikums'!B194</f>
        <v>13232</v>
      </c>
    </row>
    <row r="216" spans="1:8" ht="15" customHeight="1">
      <c r="A216" s="49"/>
      <c r="B216" s="19" t="s">
        <v>147</v>
      </c>
      <c r="C216" s="48"/>
      <c r="D216" s="40">
        <f t="shared" si="16"/>
        <v>35879</v>
      </c>
      <c r="E216" s="40">
        <f>100+6200</f>
        <v>6300</v>
      </c>
      <c r="F216" s="40">
        <f>818</f>
        <v>818</v>
      </c>
      <c r="G216" s="40"/>
      <c r="H216" s="24">
        <f>'4.pielikums'!B195</f>
        <v>42997</v>
      </c>
    </row>
    <row r="217" spans="1:8" ht="15" customHeight="1">
      <c r="A217" s="49"/>
      <c r="B217" s="27" t="s">
        <v>199</v>
      </c>
      <c r="C217" s="58"/>
      <c r="D217" s="40">
        <f t="shared" si="16"/>
        <v>25006</v>
      </c>
      <c r="E217" s="40">
        <f>140+250</f>
        <v>390</v>
      </c>
      <c r="F217" s="40"/>
      <c r="G217" s="40"/>
      <c r="H217" s="24">
        <f>'4.pielikums'!B196</f>
        <v>25396</v>
      </c>
    </row>
    <row r="218" spans="1:8" ht="15" customHeight="1">
      <c r="A218" s="49"/>
      <c r="B218" s="27" t="s">
        <v>190</v>
      </c>
      <c r="C218" s="58"/>
      <c r="D218" s="40">
        <f t="shared" si="16"/>
        <v>18945</v>
      </c>
      <c r="E218" s="40">
        <f>30</f>
        <v>30</v>
      </c>
      <c r="F218" s="40"/>
      <c r="G218" s="40"/>
      <c r="H218" s="24">
        <f>'4.pielikums'!B197</f>
        <v>18975</v>
      </c>
    </row>
    <row r="219" spans="1:8" ht="15" customHeight="1">
      <c r="A219" s="49"/>
      <c r="B219" s="43" t="s">
        <v>631</v>
      </c>
      <c r="C219" s="48"/>
      <c r="D219" s="40">
        <f t="shared" si="16"/>
        <v>56175</v>
      </c>
      <c r="E219" s="40">
        <f>5500</f>
        <v>5500</v>
      </c>
      <c r="F219" s="40">
        <f>3272</f>
        <v>3272</v>
      </c>
      <c r="G219" s="40"/>
      <c r="H219" s="24">
        <f>'4.pielikums'!B198</f>
        <v>64947</v>
      </c>
    </row>
    <row r="220" spans="1:8" ht="15" customHeight="1">
      <c r="A220" s="49"/>
      <c r="B220" s="27" t="s">
        <v>642</v>
      </c>
      <c r="C220" s="58"/>
      <c r="D220" s="40">
        <f t="shared" si="16"/>
        <v>47116</v>
      </c>
      <c r="E220" s="40">
        <f>150+2260</f>
        <v>2410</v>
      </c>
      <c r="F220" s="40">
        <f>1227</f>
        <v>1227</v>
      </c>
      <c r="G220" s="40"/>
      <c r="H220" s="24">
        <f>'4.pielikums'!B199</f>
        <v>50753</v>
      </c>
    </row>
    <row r="221" spans="1:8" ht="15" customHeight="1">
      <c r="A221" s="49"/>
      <c r="B221" s="45" t="s">
        <v>201</v>
      </c>
      <c r="C221" s="48"/>
      <c r="D221" s="40">
        <f t="shared" si="16"/>
        <v>34175</v>
      </c>
      <c r="E221" s="40">
        <f>160+765</f>
        <v>925</v>
      </c>
      <c r="F221" s="40">
        <f>409</f>
        <v>409</v>
      </c>
      <c r="G221" s="40"/>
      <c r="H221" s="24">
        <f>'4.pielikums'!B200</f>
        <v>35509</v>
      </c>
    </row>
    <row r="222" spans="1:8" ht="15" customHeight="1">
      <c r="A222" s="49"/>
      <c r="B222" s="27" t="s">
        <v>35</v>
      </c>
      <c r="C222" s="58"/>
      <c r="D222" s="40">
        <f t="shared" si="16"/>
        <v>27927</v>
      </c>
      <c r="E222" s="40">
        <f>100+800</f>
        <v>900</v>
      </c>
      <c r="F222" s="40">
        <f>1227</f>
        <v>1227</v>
      </c>
      <c r="G222" s="40"/>
      <c r="H222" s="24">
        <f>'4.pielikums'!B201</f>
        <v>30054</v>
      </c>
    </row>
    <row r="223" spans="1:8" ht="15" customHeight="1">
      <c r="A223" s="49"/>
      <c r="B223" s="19" t="s">
        <v>641</v>
      </c>
      <c r="C223" s="48"/>
      <c r="D223" s="40">
        <f t="shared" si="16"/>
        <v>97552</v>
      </c>
      <c r="E223" s="40">
        <f>400+11950</f>
        <v>12350</v>
      </c>
      <c r="F223" s="40">
        <f>2863</f>
        <v>2863</v>
      </c>
      <c r="G223" s="40"/>
      <c r="H223" s="24">
        <f>'4.pielikums'!B202</f>
        <v>112765</v>
      </c>
    </row>
    <row r="224" spans="1:8" ht="15" customHeight="1">
      <c r="A224" s="49"/>
      <c r="B224" s="19" t="s">
        <v>640</v>
      </c>
      <c r="C224" s="48"/>
      <c r="D224" s="40">
        <f t="shared" si="16"/>
        <v>40004</v>
      </c>
      <c r="E224" s="40">
        <f>70+1100</f>
        <v>1170</v>
      </c>
      <c r="F224" s="40">
        <f>818</f>
        <v>818</v>
      </c>
      <c r="G224" s="40"/>
      <c r="H224" s="24">
        <f>'4.pielikums'!B203</f>
        <v>41992</v>
      </c>
    </row>
    <row r="225" spans="1:8" ht="30" customHeight="1">
      <c r="A225" s="49"/>
      <c r="B225" s="19" t="s">
        <v>148</v>
      </c>
      <c r="C225" s="48"/>
      <c r="D225" s="40">
        <f t="shared" si="16"/>
        <v>21914</v>
      </c>
      <c r="E225" s="40">
        <f>200+500</f>
        <v>700</v>
      </c>
      <c r="F225" s="40">
        <f>1227</f>
        <v>1227</v>
      </c>
      <c r="G225" s="40"/>
      <c r="H225" s="24">
        <f>'4.pielikums'!B204</f>
        <v>23841</v>
      </c>
    </row>
    <row r="226" spans="1:8" ht="30" customHeight="1">
      <c r="A226" s="49"/>
      <c r="B226" s="19" t="s">
        <v>305</v>
      </c>
      <c r="C226" s="48"/>
      <c r="D226" s="40">
        <f>H226-E226-G226-F226-C226</f>
        <v>64129</v>
      </c>
      <c r="E226" s="40">
        <f>1700+1900</f>
        <v>3600</v>
      </c>
      <c r="F226" s="40">
        <f>1227</f>
        <v>1227</v>
      </c>
      <c r="G226" s="40"/>
      <c r="H226" s="24">
        <f>'4.pielikums'!B205</f>
        <v>68956</v>
      </c>
    </row>
    <row r="227" spans="1:8" ht="15" customHeight="1">
      <c r="A227" s="1" t="s">
        <v>307</v>
      </c>
      <c r="B227" s="26" t="s">
        <v>308</v>
      </c>
      <c r="C227" s="60">
        <f t="shared" si="20" ref="C227:H227">=SUM(C228:C240)</f>
        <v>516382</v>
      </c>
      <c r="D227" s="60">
        <f>SUM(D228:D240)</f>
        <v>408111</v>
      </c>
      <c r="E227" s="60">
        <f t="shared" si="20"/>
        <v>9000</v>
      </c>
      <c r="F227" s="60">
        <f t="shared" si="20"/>
        <v>225425</v>
      </c>
      <c r="G227" s="60">
        <f t="shared" si="20"/>
        <v>1024458</v>
      </c>
      <c r="H227" s="24">
        <f t="shared" si="20"/>
        <v>2183376</v>
      </c>
    </row>
    <row r="228" spans="1:8" ht="15" customHeight="1">
      <c r="A228" s="49"/>
      <c r="B228" s="43" t="s">
        <v>170</v>
      </c>
      <c r="C228" s="48"/>
      <c r="D228" s="40">
        <f t="shared" si="16"/>
        <v>64786</v>
      </c>
      <c r="E228" s="40"/>
      <c r="F228" s="40"/>
      <c r="G228" s="40"/>
      <c r="H228" s="24">
        <f>'4.pielikums'!B207</f>
        <v>64786</v>
      </c>
    </row>
    <row r="229" spans="1:8" ht="15" customHeight="1">
      <c r="A229" s="49"/>
      <c r="B229" s="43" t="s">
        <v>171</v>
      </c>
      <c r="C229" s="48"/>
      <c r="D229" s="40">
        <f t="shared" si="16"/>
        <v>60380</v>
      </c>
      <c r="E229" s="40">
        <v>9000</v>
      </c>
      <c r="F229" s="40"/>
      <c r="G229" s="40"/>
      <c r="H229" s="24">
        <f>'4.pielikums'!B208</f>
        <v>69380</v>
      </c>
    </row>
    <row r="230" spans="1:8" ht="15" customHeight="1">
      <c r="A230" s="49"/>
      <c r="B230" s="43" t="s">
        <v>241</v>
      </c>
      <c r="C230" s="48"/>
      <c r="D230" s="40">
        <f t="shared" si="16"/>
        <v>53769</v>
      </c>
      <c r="E230" s="40"/>
      <c r="F230" s="40"/>
      <c r="G230" s="40"/>
      <c r="H230" s="24">
        <f>'4.pielikums'!B209</f>
        <v>53769</v>
      </c>
    </row>
    <row r="231" spans="1:8" ht="30" customHeight="1">
      <c r="A231" s="49"/>
      <c r="B231" s="43" t="s">
        <v>667</v>
      </c>
      <c r="C231" s="48"/>
      <c r="D231" s="40">
        <f t="shared" si="16"/>
        <v>99418</v>
      </c>
      <c r="E231" s="40"/>
      <c r="F231" s="40"/>
      <c r="G231" s="40"/>
      <c r="H231" s="24">
        <f>'4.pielikums'!B210</f>
        <v>99418</v>
      </c>
    </row>
    <row r="232" spans="1:8" ht="30" customHeight="1">
      <c r="A232" s="49"/>
      <c r="B232" s="45" t="s">
        <v>36</v>
      </c>
      <c r="C232" s="48"/>
      <c r="D232" s="40">
        <f t="shared" si="16"/>
        <v>69309</v>
      </c>
      <c r="E232" s="40"/>
      <c r="F232" s="40"/>
      <c r="G232" s="40"/>
      <c r="H232" s="24">
        <f>'4.pielikums'!B212</f>
        <v>69309</v>
      </c>
    </row>
    <row r="233" spans="1:8" ht="30" customHeight="1">
      <c r="A233" s="1"/>
      <c r="B233" s="45" t="s">
        <v>232</v>
      </c>
      <c r="C233" s="48"/>
      <c r="D233" s="40">
        <f t="shared" si="16"/>
        <v>0</v>
      </c>
      <c r="E233" s="40"/>
      <c r="F233" s="40"/>
      <c r="G233" s="40">
        <v>516949</v>
      </c>
      <c r="H233" s="24">
        <f>'4.pielikums'!B296</f>
        <v>516949</v>
      </c>
    </row>
    <row r="234" spans="1:8" ht="30" customHeight="1">
      <c r="A234" s="1"/>
      <c r="B234" s="45" t="s">
        <v>230</v>
      </c>
      <c r="C234" s="48">
        <v>166939</v>
      </c>
      <c r="D234" s="40">
        <f t="shared" si="16"/>
        <v>0</v>
      </c>
      <c r="E234" s="40"/>
      <c r="F234" s="40">
        <v>68552</v>
      </c>
      <c r="G234" s="40">
        <v>265281</v>
      </c>
      <c r="H234" s="24">
        <f>'4.pielikums'!B311</f>
        <v>500772</v>
      </c>
    </row>
    <row r="235" spans="1:8" ht="47.1" customHeight="1">
      <c r="A235" s="1"/>
      <c r="B235" s="45" t="s">
        <v>633</v>
      </c>
      <c r="C235" s="48">
        <v>349443</v>
      </c>
      <c r="D235" s="40">
        <f t="shared" si="16"/>
        <v>0</v>
      </c>
      <c r="E235" s="40"/>
      <c r="F235" s="40">
        <v>142073</v>
      </c>
      <c r="G235" s="40">
        <v>242228</v>
      </c>
      <c r="H235" s="24">
        <f>'4.pielikums'!B313</f>
        <v>733744</v>
      </c>
    </row>
    <row r="236" spans="1:8" ht="30" customHeight="1">
      <c r="A236" s="1"/>
      <c r="B236" s="45" t="s">
        <v>664</v>
      </c>
      <c r="C236" s="48"/>
      <c r="D236" s="40">
        <f t="shared" si="16"/>
        <v>12510</v>
      </c>
      <c r="E236" s="40"/>
      <c r="F236" s="40"/>
      <c r="G236" s="40"/>
      <c r="H236" s="24">
        <f>'4.pielikums'!B301</f>
        <v>12510</v>
      </c>
    </row>
    <row r="237" spans="1:8" ht="45" customHeight="1">
      <c r="A237" s="1"/>
      <c r="B237" s="45" t="s">
        <v>309</v>
      </c>
      <c r="C237" s="48"/>
      <c r="D237" s="40">
        <f t="shared" si="16"/>
        <v>43230</v>
      </c>
      <c r="E237" s="40"/>
      <c r="F237" s="40"/>
      <c r="G237" s="40"/>
      <c r="H237" s="24">
        <f>'4.pielikums'!B303</f>
        <v>43230</v>
      </c>
    </row>
    <row r="238" spans="1:8" s="0" customFormat="1" ht="45" customHeight="1">
      <c r="A238" s="103"/>
      <c r="B238" s="104" t="s">
        <v>648</v>
      </c>
      <c r="C238" s="105"/>
      <c r="D238" s="106">
        <f t="shared" si="16"/>
        <v>4709</v>
      </c>
      <c r="E238" s="106"/>
      <c r="F238" s="106"/>
      <c r="G238" s="106"/>
      <c r="H238" s="107">
        <f>'4.pielikums'!B211</f>
        <v>4709</v>
      </c>
    </row>
    <row r="239" spans="1:8" s="0" customFormat="1" ht="45" customHeight="1">
      <c r="A239" s="103"/>
      <c r="B239" s="104" t="s">
        <v>665</v>
      </c>
      <c r="C239" s="105"/>
      <c r="D239" s="106">
        <f t="shared" si="16"/>
        <v>0</v>
      </c>
      <c r="E239" s="106"/>
      <c r="F239" s="106">
        <v>800</v>
      </c>
      <c r="G239" s="106"/>
      <c r="H239" s="107">
        <f>'4.pielikums'!B305</f>
        <v>800</v>
      </c>
    </row>
    <row r="240" spans="1:8" ht="47.1" customHeight="1">
      <c r="A240" s="1"/>
      <c r="B240" s="45" t="s">
        <v>649</v>
      </c>
      <c r="C240" s="48"/>
      <c r="D240" s="40">
        <f t="shared" si="16"/>
        <v>0</v>
      </c>
      <c r="E240" s="40"/>
      <c r="F240" s="40">
        <v>14000</v>
      </c>
      <c r="G240" s="40"/>
      <c r="H240" s="24">
        <f>'4.pielikums'!B304</f>
        <v>14000</v>
      </c>
    </row>
    <row r="241" spans="1:8" ht="15" customHeight="1">
      <c r="A241" s="1" t="s">
        <v>310</v>
      </c>
      <c r="B241" s="38" t="s">
        <v>311</v>
      </c>
      <c r="C241" s="39">
        <f t="shared" si="21" ref="C241:H241">=C242+C250+C261+C269+C277+C279</f>
        <v>151400</v>
      </c>
      <c r="D241" s="39">
        <f>D242+D250+D261+D269+D277+D279</f>
        <v>7612132</v>
      </c>
      <c r="E241" s="39">
        <f t="shared" si="21"/>
        <v>367487</v>
      </c>
      <c r="F241" s="39">
        <f>F242+F250+F261+F269+F277+F279</f>
        <v>4861746</v>
      </c>
      <c r="G241" s="39">
        <f t="shared" si="21"/>
        <v>923934</v>
      </c>
      <c r="H241" s="24">
        <f t="shared" si="21"/>
        <v>13916699</v>
      </c>
    </row>
    <row r="242" spans="1:8" ht="15" customHeight="1">
      <c r="A242" s="1"/>
      <c r="B242" s="38" t="s">
        <v>312</v>
      </c>
      <c r="C242" s="39">
        <f>SUM(C243:C248)</f>
        <v>0</v>
      </c>
      <c r="D242" s="39">
        <f>SUM(D243:D248)</f>
        <v>1572521</v>
      </c>
      <c r="E242" s="39">
        <f>SUM(E243:E248)</f>
        <v>99926</v>
      </c>
      <c r="F242" s="39">
        <f>SUM(F243:F248)</f>
        <v>269464</v>
      </c>
      <c r="G242" s="39">
        <f t="shared" si="22" ref="G242">=SUM(G243:G248)</f>
        <v>0</v>
      </c>
      <c r="H242" s="24">
        <f>SUM(H243:H248)</f>
        <v>1941911</v>
      </c>
    </row>
    <row r="243" spans="1:8" ht="15" customHeight="1">
      <c r="A243" s="49"/>
      <c r="B243" s="27" t="s">
        <v>37</v>
      </c>
      <c r="C243" s="58"/>
      <c r="D243" s="40">
        <f t="shared" si="23" ref="D243:D248">=H243-E243-G243-F243-C243</f>
        <v>537690</v>
      </c>
      <c r="E243" s="40">
        <f>39000+2200</f>
        <v>41200</v>
      </c>
      <c r="F243" s="40">
        <f>143656+6896</f>
        <v>150552</v>
      </c>
      <c r="G243" s="40"/>
      <c r="H243" s="24">
        <f>'4.pielikums'!B213</f>
        <v>729442</v>
      </c>
    </row>
    <row r="244" spans="1:8" ht="15" customHeight="1">
      <c r="A244" s="49"/>
      <c r="B244" s="27" t="s">
        <v>38</v>
      </c>
      <c r="C244" s="58"/>
      <c r="D244" s="40">
        <f t="shared" si="23"/>
        <v>383264</v>
      </c>
      <c r="E244" s="40">
        <f>25610+4500</f>
        <v>30110</v>
      </c>
      <c r="F244" s="40">
        <f>52608</f>
        <v>52608</v>
      </c>
      <c r="G244" s="40"/>
      <c r="H244" s="24">
        <f>'4.pielikums'!B214</f>
        <v>465982</v>
      </c>
    </row>
    <row r="245" spans="1:8" ht="15" customHeight="1">
      <c r="A245" s="49"/>
      <c r="B245" s="27" t="s">
        <v>39</v>
      </c>
      <c r="C245" s="58"/>
      <c r="D245" s="40">
        <f t="shared" si="23"/>
        <v>82752</v>
      </c>
      <c r="E245" s="40">
        <f>1420+1900</f>
        <v>3320</v>
      </c>
      <c r="F245" s="40">
        <f>9256</f>
        <v>9256</v>
      </c>
      <c r="G245" s="40"/>
      <c r="H245" s="24">
        <f>'4.pielikums'!B215</f>
        <v>95328</v>
      </c>
    </row>
    <row r="246" spans="1:8" ht="15" customHeight="1">
      <c r="A246" s="49"/>
      <c r="B246" s="27" t="s">
        <v>40</v>
      </c>
      <c r="C246" s="58"/>
      <c r="D246" s="40">
        <f t="shared" si="23"/>
        <v>246643</v>
      </c>
      <c r="E246" s="40">
        <f>12551+1875</f>
        <v>14426</v>
      </c>
      <c r="F246" s="40">
        <f>27328</f>
        <v>27328</v>
      </c>
      <c r="G246" s="40"/>
      <c r="H246" s="24">
        <f>'4.pielikums'!B216</f>
        <v>288397</v>
      </c>
    </row>
    <row r="247" spans="1:8" ht="30" customHeight="1">
      <c r="A247" s="49"/>
      <c r="B247" s="19" t="s">
        <v>154</v>
      </c>
      <c r="C247" s="48"/>
      <c r="D247" s="40">
        <f t="shared" si="23"/>
        <v>180679</v>
      </c>
      <c r="E247" s="40">
        <f>5030+1440</f>
        <v>6470</v>
      </c>
      <c r="F247" s="40">
        <f>20904</f>
        <v>20904</v>
      </c>
      <c r="G247" s="40"/>
      <c r="H247" s="24">
        <f>'4.pielikums'!B217</f>
        <v>208053</v>
      </c>
    </row>
    <row r="248" spans="1:8" ht="30" customHeight="1">
      <c r="A248" s="49"/>
      <c r="B248" s="19" t="s">
        <v>155</v>
      </c>
      <c r="C248" s="48"/>
      <c r="D248" s="40">
        <f t="shared" si="23"/>
        <v>141493</v>
      </c>
      <c r="E248" s="40">
        <f>3850+550</f>
        <v>4400</v>
      </c>
      <c r="F248" s="40">
        <f>8816</f>
        <v>8816</v>
      </c>
      <c r="G248" s="40"/>
      <c r="H248" s="24">
        <f>'4.pielikums'!B218</f>
        <v>154709</v>
      </c>
    </row>
    <row r="249" spans="1:8" ht="31.5">
      <c r="A249" s="1"/>
      <c r="B249" s="64" t="s">
        <v>313</v>
      </c>
      <c r="C249" s="57"/>
      <c r="D249" s="40"/>
      <c r="E249" s="40"/>
      <c r="F249" s="40"/>
      <c r="G249" s="40"/>
      <c r="H249" s="24"/>
    </row>
    <row r="250" spans="1:8" ht="15" customHeight="1">
      <c r="A250" s="1"/>
      <c r="B250" s="38" t="s">
        <v>314</v>
      </c>
      <c r="C250" s="39">
        <f t="shared" si="24" ref="C250:H250">=SUM(C251:C260)</f>
        <v>0</v>
      </c>
      <c r="D250" s="39">
        <f t="shared" si="24"/>
        <v>1904680</v>
      </c>
      <c r="E250" s="39">
        <f t="shared" si="24"/>
        <v>60950</v>
      </c>
      <c r="F250" s="39">
        <f>SUM(F251:F260)</f>
        <v>1651376</v>
      </c>
      <c r="G250" s="39">
        <f t="shared" si="24"/>
        <v>0</v>
      </c>
      <c r="H250" s="24">
        <f t="shared" si="24"/>
        <v>3617006</v>
      </c>
    </row>
    <row r="251" spans="1:8" ht="15" customHeight="1">
      <c r="A251" s="49"/>
      <c r="B251" s="27" t="s">
        <v>78</v>
      </c>
      <c r="C251" s="58"/>
      <c r="D251" s="40">
        <f t="shared" si="25" ref="D251:D317">=H251-E251-G251-F251-C251</f>
        <v>354515</v>
      </c>
      <c r="E251" s="40">
        <f>1332+6047</f>
        <v>7379</v>
      </c>
      <c r="F251" s="40">
        <f>547688+12888+53949</f>
        <v>614525</v>
      </c>
      <c r="G251" s="40"/>
      <c r="H251" s="24">
        <f>'4.pielikums'!B219</f>
        <v>976419</v>
      </c>
    </row>
    <row r="252" spans="1:8" ht="15" customHeight="1">
      <c r="A252" s="49"/>
      <c r="B252" s="27" t="s">
        <v>164</v>
      </c>
      <c r="C252" s="58"/>
      <c r="D252" s="40">
        <f t="shared" si="25"/>
        <v>315771</v>
      </c>
      <c r="E252" s="40">
        <f>43+9100+2125+1600</f>
        <v>12868</v>
      </c>
      <c r="F252" s="40">
        <f>78600+6104+11736+2693</f>
        <v>99133</v>
      </c>
      <c r="G252" s="40"/>
      <c r="H252" s="24">
        <f>'4.pielikums'!B220</f>
        <v>427772</v>
      </c>
    </row>
    <row r="253" spans="1:8" ht="30" customHeight="1">
      <c r="A253" s="49"/>
      <c r="B253" s="43" t="s">
        <v>315</v>
      </c>
      <c r="C253" s="48"/>
      <c r="D253" s="40">
        <f t="shared" si="25"/>
        <v>40424</v>
      </c>
      <c r="E253" s="40">
        <f>2296+80+500</f>
        <v>2876</v>
      </c>
      <c r="F253" s="40"/>
      <c r="G253" s="40"/>
      <c r="H253" s="24">
        <f>'4.pielikums'!B221</f>
        <v>43300</v>
      </c>
    </row>
    <row r="254" spans="1:8" ht="15" customHeight="1">
      <c r="A254" s="49"/>
      <c r="B254" s="27" t="s">
        <v>156</v>
      </c>
      <c r="C254" s="58"/>
      <c r="D254" s="40">
        <f t="shared" si="25"/>
        <v>197523</v>
      </c>
      <c r="E254" s="40">
        <f>4880+1175+1000</f>
        <v>7055</v>
      </c>
      <c r="F254" s="40">
        <f>195936+2712+10280+5019+55171</f>
        <v>269118</v>
      </c>
      <c r="G254" s="40"/>
      <c r="H254" s="24">
        <f>'4.pielikums'!B222</f>
        <v>473696</v>
      </c>
    </row>
    <row r="255" spans="1:8" ht="15" customHeight="1">
      <c r="A255" s="49"/>
      <c r="B255" s="27" t="s">
        <v>41</v>
      </c>
      <c r="C255" s="58"/>
      <c r="D255" s="40">
        <f t="shared" si="25"/>
        <v>175023</v>
      </c>
      <c r="E255" s="40">
        <f>2574</f>
        <v>2574</v>
      </c>
      <c r="F255" s="40">
        <f>155368+3728+5189</f>
        <v>164285</v>
      </c>
      <c r="G255" s="40"/>
      <c r="H255" s="24">
        <f>'4.pielikums'!B223</f>
        <v>341882</v>
      </c>
    </row>
    <row r="256" spans="1:8" ht="15" customHeight="1">
      <c r="A256" s="49"/>
      <c r="B256" s="27" t="s">
        <v>226</v>
      </c>
      <c r="C256" s="58"/>
      <c r="D256" s="40">
        <f t="shared" si="25"/>
        <v>257717</v>
      </c>
      <c r="E256" s="40">
        <f>3000+1500+1688+6300</f>
        <v>12488</v>
      </c>
      <c r="F256" s="40">
        <f>293784+6104+10054+27585</f>
        <v>337527</v>
      </c>
      <c r="G256" s="40"/>
      <c r="H256" s="24">
        <f>'4.pielikums'!B224</f>
        <v>607732</v>
      </c>
    </row>
    <row r="257" spans="1:8" ht="30" customHeight="1">
      <c r="A257" s="49"/>
      <c r="B257" s="43" t="s">
        <v>634</v>
      </c>
      <c r="C257" s="48"/>
      <c r="D257" s="40">
        <f t="shared" si="25"/>
        <v>127025</v>
      </c>
      <c r="E257" s="40">
        <f>6500+1456</f>
        <v>7956</v>
      </c>
      <c r="F257" s="40">
        <f>14016</f>
        <v>14016</v>
      </c>
      <c r="G257" s="40"/>
      <c r="H257" s="24">
        <f>'4.pielikums'!B225</f>
        <v>148997</v>
      </c>
    </row>
    <row r="258" spans="1:8" ht="30" customHeight="1">
      <c r="A258" s="49"/>
      <c r="B258" s="43" t="s">
        <v>227</v>
      </c>
      <c r="C258" s="48"/>
      <c r="D258" s="40">
        <f t="shared" si="25"/>
        <v>64724</v>
      </c>
      <c r="E258" s="40">
        <f>2819+500</f>
        <v>3319</v>
      </c>
      <c r="F258" s="40">
        <f>7512</f>
        <v>7512</v>
      </c>
      <c r="G258" s="40"/>
      <c r="H258" s="24">
        <f>'4.pielikums'!B226</f>
        <v>75555</v>
      </c>
    </row>
    <row r="259" spans="1:8" ht="15" customHeight="1">
      <c r="A259" s="49"/>
      <c r="B259" s="19" t="s">
        <v>152</v>
      </c>
      <c r="C259" s="48"/>
      <c r="D259" s="40">
        <f t="shared" si="25"/>
        <v>246719</v>
      </c>
      <c r="E259" s="40">
        <f>675+2500</f>
        <v>3175</v>
      </c>
      <c r="F259" s="40">
        <f>126288+5424+7368+3312</f>
        <v>142392</v>
      </c>
      <c r="G259" s="40"/>
      <c r="H259" s="24">
        <f>'4.pielikums'!B227</f>
        <v>392286</v>
      </c>
    </row>
    <row r="260" spans="1:8" ht="15" customHeight="1">
      <c r="A260" s="49"/>
      <c r="B260" s="27" t="s">
        <v>255</v>
      </c>
      <c r="C260" s="58"/>
      <c r="D260" s="40">
        <f t="shared" si="25"/>
        <v>125239</v>
      </c>
      <c r="E260" s="40">
        <f>1150+110</f>
        <v>1260</v>
      </c>
      <c r="F260" s="40">
        <f>2868</f>
        <v>2868</v>
      </c>
      <c r="G260" s="40"/>
      <c r="H260" s="24">
        <f>'4.pielikums'!B228</f>
        <v>129367</v>
      </c>
    </row>
    <row r="261" spans="1:8" ht="15" customHeight="1">
      <c r="A261" s="1"/>
      <c r="B261" s="38" t="s">
        <v>316</v>
      </c>
      <c r="C261" s="39">
        <f t="shared" si="26" ref="C261:H261">=SUM(C262:C268)</f>
        <v>0</v>
      </c>
      <c r="D261" s="39">
        <f t="shared" si="26"/>
        <v>2213763</v>
      </c>
      <c r="E261" s="39">
        <f t="shared" si="26"/>
        <v>85818</v>
      </c>
      <c r="F261" s="39">
        <f>SUM(F262:F268)</f>
        <v>1723549</v>
      </c>
      <c r="G261" s="39">
        <f t="shared" si="26"/>
        <v>0</v>
      </c>
      <c r="H261" s="24">
        <f t="shared" si="26"/>
        <v>4023130</v>
      </c>
    </row>
    <row r="262" spans="1:8" ht="15" customHeight="1">
      <c r="A262" s="49"/>
      <c r="B262" s="27" t="s">
        <v>42</v>
      </c>
      <c r="C262" s="58"/>
      <c r="D262" s="40">
        <f t="shared" si="25"/>
        <v>411743</v>
      </c>
      <c r="E262" s="40">
        <f>15000+3000</f>
        <v>18000</v>
      </c>
      <c r="F262" s="40">
        <f>422144+5768</f>
        <v>427912</v>
      </c>
      <c r="G262" s="40"/>
      <c r="H262" s="24">
        <f>'4.pielikums'!B229</f>
        <v>857655</v>
      </c>
    </row>
    <row r="263" spans="1:8" ht="15" customHeight="1">
      <c r="A263" s="49"/>
      <c r="B263" s="27" t="s">
        <v>160</v>
      </c>
      <c r="C263" s="58"/>
      <c r="D263" s="40">
        <f t="shared" si="25"/>
        <v>296052</v>
      </c>
      <c r="E263" s="40">
        <f>2000+3900+307</f>
        <v>6207</v>
      </c>
      <c r="F263" s="40">
        <f>218192+10848+8955</f>
        <v>237995</v>
      </c>
      <c r="G263" s="40"/>
      <c r="H263" s="24">
        <f>'4.pielikums'!B230</f>
        <v>540254</v>
      </c>
    </row>
    <row r="264" spans="1:8" ht="30" customHeight="1">
      <c r="A264" s="49"/>
      <c r="B264" s="43" t="s">
        <v>662</v>
      </c>
      <c r="C264" s="48"/>
      <c r="D264" s="40">
        <f t="shared" si="25"/>
        <v>409235</v>
      </c>
      <c r="E264" s="40">
        <f>5829+7000+950</f>
        <v>13779</v>
      </c>
      <c r="F264" s="40">
        <f>223224+152480+9152</f>
        <v>384856</v>
      </c>
      <c r="G264" s="40"/>
      <c r="H264" s="24">
        <f>'4.pielikums'!B231</f>
        <v>807870</v>
      </c>
    </row>
    <row r="265" spans="1:8" ht="45.75" customHeight="1">
      <c r="A265" s="49"/>
      <c r="B265" s="43" t="s">
        <v>663</v>
      </c>
      <c r="C265" s="48"/>
      <c r="D265" s="40">
        <f t="shared" si="25"/>
        <v>81842</v>
      </c>
      <c r="E265" s="40">
        <f>7000+13500</f>
        <v>20500</v>
      </c>
      <c r="F265" s="40">
        <f>13000</f>
        <v>13000</v>
      </c>
      <c r="G265" s="40"/>
      <c r="H265" s="24">
        <f>'4.pielikums'!B232</f>
        <v>115342</v>
      </c>
    </row>
    <row r="266" spans="1:8" ht="15" customHeight="1">
      <c r="A266" s="49"/>
      <c r="B266" s="43" t="s">
        <v>159</v>
      </c>
      <c r="C266" s="48"/>
      <c r="D266" s="40">
        <f t="shared" si="25"/>
        <v>317226</v>
      </c>
      <c r="E266" s="40">
        <f>4066+800</f>
        <v>4866</v>
      </c>
      <c r="F266" s="40">
        <f>153136+5760+14640+7893+6896</f>
        <v>188325</v>
      </c>
      <c r="G266" s="40"/>
      <c r="H266" s="24">
        <f>'4.pielikums'!B233</f>
        <v>510417</v>
      </c>
    </row>
    <row r="267" spans="1:8" ht="15" customHeight="1">
      <c r="A267" s="49"/>
      <c r="B267" s="43" t="s">
        <v>151</v>
      </c>
      <c r="C267" s="48"/>
      <c r="D267" s="40">
        <f t="shared" si="25"/>
        <v>321574</v>
      </c>
      <c r="E267" s="40">
        <f>4100+2201+1560+5440</f>
        <v>13301</v>
      </c>
      <c r="F267" s="40">
        <f>162264+7800+27656+6990</f>
        <v>204710</v>
      </c>
      <c r="G267" s="40"/>
      <c r="H267" s="24">
        <f>'4.pielikums'!B234</f>
        <v>539585</v>
      </c>
    </row>
    <row r="268" spans="1:8" ht="15" customHeight="1">
      <c r="A268" s="49"/>
      <c r="B268" s="43" t="s">
        <v>166</v>
      </c>
      <c r="C268" s="48"/>
      <c r="D268" s="40">
        <f t="shared" si="25"/>
        <v>376091</v>
      </c>
      <c r="E268" s="40">
        <f>4255+1000+1660+2250</f>
        <v>9165</v>
      </c>
      <c r="F268" s="40">
        <f>226912+6800+25168+7871</f>
        <v>266751</v>
      </c>
      <c r="G268" s="40"/>
      <c r="H268" s="24">
        <f>'4.pielikums'!B235</f>
        <v>652007</v>
      </c>
    </row>
    <row r="269" spans="1:8" ht="30" customHeight="1">
      <c r="A269" s="65"/>
      <c r="B269" s="64" t="s">
        <v>317</v>
      </c>
      <c r="C269" s="39">
        <f t="shared" si="27" ref="C269:H269">=SUM(C270:C276)</f>
        <v>0</v>
      </c>
      <c r="D269" s="39">
        <f t="shared" si="27"/>
        <v>942332</v>
      </c>
      <c r="E269" s="39">
        <f t="shared" si="27"/>
        <v>114393</v>
      </c>
      <c r="F269" s="39">
        <f>SUM(F270:F276)</f>
        <v>755203</v>
      </c>
      <c r="G269" s="39">
        <f t="shared" si="27"/>
        <v>0</v>
      </c>
      <c r="H269" s="24">
        <f t="shared" si="27"/>
        <v>1811928</v>
      </c>
    </row>
    <row r="270" spans="1:8" ht="15" customHeight="1">
      <c r="A270" s="49"/>
      <c r="B270" s="27" t="s">
        <v>43</v>
      </c>
      <c r="C270" s="58"/>
      <c r="D270" s="40">
        <f t="shared" si="25"/>
        <v>137020</v>
      </c>
      <c r="E270" s="40">
        <f>420+11745+800</f>
        <v>12965</v>
      </c>
      <c r="F270" s="40">
        <f>4744+261825</f>
        <v>266569</v>
      </c>
      <c r="G270" s="40"/>
      <c r="H270" s="24">
        <f>'4.pielikums'!B236</f>
        <v>416554</v>
      </c>
    </row>
    <row r="271" spans="1:8" ht="15" customHeight="1">
      <c r="A271" s="49"/>
      <c r="B271" s="27" t="s">
        <v>44</v>
      </c>
      <c r="C271" s="58"/>
      <c r="D271" s="40">
        <f t="shared" si="25"/>
        <v>115866</v>
      </c>
      <c r="E271" s="40">
        <f>8268</f>
        <v>8268</v>
      </c>
      <c r="F271" s="40">
        <f>2032+32964</f>
        <v>34996</v>
      </c>
      <c r="G271" s="40"/>
      <c r="H271" s="24">
        <f>'4.pielikums'!B237</f>
        <v>159130</v>
      </c>
    </row>
    <row r="272" spans="1:8" ht="15" customHeight="1">
      <c r="A272" s="49"/>
      <c r="B272" s="45" t="s">
        <v>158</v>
      </c>
      <c r="C272" s="48"/>
      <c r="D272" s="40">
        <f t="shared" si="25"/>
        <v>89984</v>
      </c>
      <c r="E272" s="40">
        <f>1600+25</f>
        <v>1625</v>
      </c>
      <c r="F272" s="40">
        <f>1352+51696</f>
        <v>53048</v>
      </c>
      <c r="G272" s="40"/>
      <c r="H272" s="24">
        <f>'4.pielikums'!B238</f>
        <v>144657</v>
      </c>
    </row>
    <row r="273" spans="1:8" ht="15" customHeight="1">
      <c r="A273" s="49"/>
      <c r="B273" s="19" t="s">
        <v>150</v>
      </c>
      <c r="C273" s="48"/>
      <c r="D273" s="40">
        <f t="shared" si="25"/>
        <v>34098</v>
      </c>
      <c r="E273" s="40">
        <f>4100+396</f>
        <v>4496</v>
      </c>
      <c r="F273" s="40">
        <f>1352+88217</f>
        <v>89569</v>
      </c>
      <c r="G273" s="40"/>
      <c r="H273" s="24">
        <f>'4.pielikums'!B239</f>
        <v>128163</v>
      </c>
    </row>
    <row r="274" spans="1:8" ht="15" customHeight="1">
      <c r="A274" s="49"/>
      <c r="B274" s="27" t="s">
        <v>45</v>
      </c>
      <c r="C274" s="58"/>
      <c r="D274" s="40">
        <f t="shared" si="25"/>
        <v>242479</v>
      </c>
      <c r="E274" s="40">
        <f>250+650+300</f>
        <v>1200</v>
      </c>
      <c r="F274" s="40">
        <f>2984+277541</f>
        <v>280525</v>
      </c>
      <c r="G274" s="40"/>
      <c r="H274" s="24">
        <f>'4.pielikums'!B240</f>
        <v>524204</v>
      </c>
    </row>
    <row r="275" spans="1:8" ht="15" customHeight="1">
      <c r="A275" s="49"/>
      <c r="B275" s="27" t="s">
        <v>318</v>
      </c>
      <c r="C275" s="58"/>
      <c r="D275" s="40">
        <f t="shared" si="25"/>
        <v>137478</v>
      </c>
      <c r="E275" s="40">
        <f>687+82800</f>
        <v>83487</v>
      </c>
      <c r="F275" s="40"/>
      <c r="G275" s="40"/>
      <c r="H275" s="24">
        <f>'4.pielikums'!B241</f>
        <v>220965</v>
      </c>
    </row>
    <row r="276" spans="1:8" ht="15" customHeight="1">
      <c r="A276" s="49"/>
      <c r="B276" s="27" t="s">
        <v>319</v>
      </c>
      <c r="C276" s="58"/>
      <c r="D276" s="40">
        <f t="shared" si="25"/>
        <v>185407</v>
      </c>
      <c r="E276" s="40">
        <f>1800+552</f>
        <v>2352</v>
      </c>
      <c r="F276" s="40">
        <f>30496</f>
        <v>30496</v>
      </c>
      <c r="G276" s="40"/>
      <c r="H276" s="24">
        <f>'4.pielikums'!B242</f>
        <v>218255</v>
      </c>
    </row>
    <row r="277" spans="1:8" ht="15" customHeight="1">
      <c r="A277" s="1"/>
      <c r="B277" s="64" t="s">
        <v>320</v>
      </c>
      <c r="C277" s="39">
        <f t="shared" si="28" ref="C277:H277">=C278</f>
        <v>0</v>
      </c>
      <c r="D277" s="39">
        <f t="shared" si="28"/>
        <v>271060</v>
      </c>
      <c r="E277" s="39">
        <f t="shared" si="28"/>
        <v>0</v>
      </c>
      <c r="F277" s="39">
        <f t="shared" si="28"/>
        <v>0</v>
      </c>
      <c r="G277" s="39">
        <f t="shared" si="28"/>
        <v>0</v>
      </c>
      <c r="H277" s="24">
        <f t="shared" si="28"/>
        <v>271060</v>
      </c>
    </row>
    <row r="278" spans="1:8" ht="15" customHeight="1">
      <c r="A278" s="63"/>
      <c r="B278" s="45" t="s">
        <v>157</v>
      </c>
      <c r="C278" s="48"/>
      <c r="D278" s="40">
        <f t="shared" si="25"/>
        <v>271060</v>
      </c>
      <c r="E278" s="40"/>
      <c r="F278" s="40"/>
      <c r="G278" s="40"/>
      <c r="H278" s="24">
        <f>'4.pielikums'!B243</f>
        <v>271060</v>
      </c>
    </row>
    <row r="279" spans="1:8" ht="30" customHeight="1">
      <c r="A279" s="51"/>
      <c r="B279" s="64" t="s">
        <v>321</v>
      </c>
      <c r="C279" s="39">
        <f t="shared" si="29" ref="C279:H279">=SUM(C280:C312)</f>
        <v>151400</v>
      </c>
      <c r="D279" s="39">
        <f t="shared" si="29"/>
        <v>707776</v>
      </c>
      <c r="E279" s="39">
        <f t="shared" si="29"/>
        <v>6400</v>
      </c>
      <c r="F279" s="39">
        <f t="shared" si="29"/>
        <v>462154</v>
      </c>
      <c r="G279" s="39">
        <f t="shared" si="29"/>
        <v>923934</v>
      </c>
      <c r="H279" s="24">
        <f t="shared" si="29"/>
        <v>2251664</v>
      </c>
    </row>
    <row r="280" spans="1:8" ht="15" customHeight="1">
      <c r="A280" s="27"/>
      <c r="B280" s="43" t="s">
        <v>169</v>
      </c>
      <c r="C280" s="48"/>
      <c r="D280" s="40">
        <f t="shared" si="25"/>
        <v>57449</v>
      </c>
      <c r="E280" s="40">
        <f>5000</f>
        <v>5000</v>
      </c>
      <c r="F280" s="40"/>
      <c r="G280" s="40"/>
      <c r="H280" s="24">
        <f>'4.pielikums'!B244</f>
        <v>62449</v>
      </c>
    </row>
    <row r="281" spans="1:8" ht="15" customHeight="1">
      <c r="A281" s="49"/>
      <c r="B281" s="27" t="s">
        <v>299</v>
      </c>
      <c r="C281" s="58"/>
      <c r="D281" s="40">
        <f t="shared" si="25"/>
        <v>12286</v>
      </c>
      <c r="E281" s="40"/>
      <c r="F281" s="40"/>
      <c r="G281" s="40"/>
      <c r="H281" s="24">
        <f>'4.pielikums'!B177</f>
        <v>12286</v>
      </c>
    </row>
    <row r="282" spans="1:8" ht="15" customHeight="1">
      <c r="A282" s="49"/>
      <c r="B282" s="19" t="s">
        <v>62</v>
      </c>
      <c r="C282" s="48"/>
      <c r="D282" s="40">
        <f t="shared" si="25"/>
        <v>928</v>
      </c>
      <c r="E282" s="40"/>
      <c r="F282" s="40">
        <v>11861</v>
      </c>
      <c r="G282" s="40"/>
      <c r="H282" s="24">
        <f>'4.pielikums'!B245</f>
        <v>12789</v>
      </c>
    </row>
    <row r="283" spans="1:8" ht="15" customHeight="1">
      <c r="A283" s="49"/>
      <c r="B283" s="46" t="s">
        <v>203</v>
      </c>
      <c r="C283" s="48"/>
      <c r="D283" s="40">
        <f t="shared" si="25"/>
        <v>23294</v>
      </c>
      <c r="E283" s="40"/>
      <c r="F283" s="40"/>
      <c r="G283" s="40"/>
      <c r="H283" s="24">
        <f>'4.pielikums'!B246</f>
        <v>23294</v>
      </c>
    </row>
    <row r="284" spans="1:8" ht="30" customHeight="1">
      <c r="A284" s="49"/>
      <c r="B284" s="53" t="s">
        <v>188</v>
      </c>
      <c r="C284" s="48"/>
      <c r="D284" s="40">
        <f t="shared" si="25"/>
        <v>20596</v>
      </c>
      <c r="E284" s="40"/>
      <c r="F284" s="40"/>
      <c r="G284" s="40"/>
      <c r="H284" s="24">
        <f>'4.pielikums'!B247</f>
        <v>20596</v>
      </c>
    </row>
    <row r="285" spans="1:8" ht="15" customHeight="1">
      <c r="A285" s="27"/>
      <c r="B285" s="53" t="s">
        <v>189</v>
      </c>
      <c r="C285" s="48"/>
      <c r="D285" s="40">
        <f t="shared" si="25"/>
        <v>24098</v>
      </c>
      <c r="E285" s="40"/>
      <c r="F285" s="40"/>
      <c r="G285" s="40"/>
      <c r="H285" s="24">
        <f>'4.pielikums'!B248</f>
        <v>24098</v>
      </c>
    </row>
    <row r="286" spans="1:8" ht="15" customHeight="1">
      <c r="A286" s="27"/>
      <c r="B286" s="53" t="s">
        <v>185</v>
      </c>
      <c r="C286" s="48"/>
      <c r="D286" s="40">
        <f t="shared" si="25"/>
        <v>23863</v>
      </c>
      <c r="E286" s="40"/>
      <c r="F286" s="40"/>
      <c r="G286" s="40"/>
      <c r="H286" s="24">
        <f>'4.pielikums'!B249</f>
        <v>23863</v>
      </c>
    </row>
    <row r="287" spans="1:8" ht="15" customHeight="1">
      <c r="A287" s="27"/>
      <c r="B287" s="53" t="s">
        <v>206</v>
      </c>
      <c r="C287" s="48"/>
      <c r="D287" s="40">
        <f t="shared" si="25"/>
        <v>22060</v>
      </c>
      <c r="E287" s="40"/>
      <c r="F287" s="40"/>
      <c r="G287" s="40"/>
      <c r="H287" s="24">
        <f>'4.pielikums'!B250</f>
        <v>22060</v>
      </c>
    </row>
    <row r="288" spans="1:8" ht="15" customHeight="1">
      <c r="A288" s="27"/>
      <c r="B288" s="53" t="s">
        <v>187</v>
      </c>
      <c r="C288" s="48"/>
      <c r="D288" s="40">
        <f t="shared" si="25"/>
        <v>21883</v>
      </c>
      <c r="E288" s="40"/>
      <c r="F288" s="40"/>
      <c r="G288" s="40"/>
      <c r="H288" s="24">
        <f>'4.pielikums'!B251</f>
        <v>21883</v>
      </c>
    </row>
    <row r="289" spans="1:8" ht="15" customHeight="1">
      <c r="A289" s="27"/>
      <c r="B289" s="54" t="s">
        <v>195</v>
      </c>
      <c r="C289" s="48"/>
      <c r="D289" s="40">
        <f t="shared" si="25"/>
        <v>92220</v>
      </c>
      <c r="E289" s="40"/>
      <c r="F289" s="40"/>
      <c r="G289" s="40"/>
      <c r="H289" s="24">
        <f>'4.pielikums'!B252</f>
        <v>92220</v>
      </c>
    </row>
    <row r="290" spans="1:8" ht="15" customHeight="1">
      <c r="A290" s="27"/>
      <c r="B290" s="53" t="s">
        <v>628</v>
      </c>
      <c r="C290" s="48"/>
      <c r="D290" s="40">
        <f t="shared" si="25"/>
        <v>31814</v>
      </c>
      <c r="E290" s="40">
        <v>200</v>
      </c>
      <c r="F290" s="40"/>
      <c r="G290" s="40"/>
      <c r="H290" s="24">
        <f>'4.pielikums'!B253</f>
        <v>32014</v>
      </c>
    </row>
    <row r="291" spans="1:8" ht="15" customHeight="1">
      <c r="A291" s="27"/>
      <c r="B291" s="53" t="s">
        <v>149</v>
      </c>
      <c r="C291" s="48"/>
      <c r="D291" s="40">
        <f t="shared" si="25"/>
        <v>27161</v>
      </c>
      <c r="E291" s="40">
        <v>900</v>
      </c>
      <c r="F291" s="40"/>
      <c r="G291" s="40"/>
      <c r="H291" s="24">
        <f>'4.pielikums'!B254</f>
        <v>28061</v>
      </c>
    </row>
    <row r="292" spans="1:8" ht="15" customHeight="1">
      <c r="A292" s="27"/>
      <c r="B292" s="53" t="s">
        <v>208</v>
      </c>
      <c r="C292" s="48"/>
      <c r="D292" s="40">
        <f t="shared" si="25"/>
        <v>35185</v>
      </c>
      <c r="E292" s="40"/>
      <c r="F292" s="40"/>
      <c r="G292" s="40"/>
      <c r="H292" s="24">
        <f>'4.pielikums'!B255</f>
        <v>35185</v>
      </c>
    </row>
    <row r="293" spans="1:8" ht="15" customHeight="1">
      <c r="A293" s="27"/>
      <c r="B293" s="53" t="s">
        <v>202</v>
      </c>
      <c r="C293" s="48"/>
      <c r="D293" s="40">
        <f t="shared" si="25"/>
        <v>21535</v>
      </c>
      <c r="E293" s="40"/>
      <c r="F293" s="40"/>
      <c r="G293" s="40"/>
      <c r="H293" s="24">
        <f>'4.pielikums'!B256</f>
        <v>21535</v>
      </c>
    </row>
    <row r="294" spans="1:8" ht="15" customHeight="1">
      <c r="A294" s="27"/>
      <c r="B294" s="53" t="s">
        <v>204</v>
      </c>
      <c r="C294" s="48"/>
      <c r="D294" s="40">
        <f t="shared" si="25"/>
        <v>19542</v>
      </c>
      <c r="E294" s="40">
        <v>300</v>
      </c>
      <c r="F294" s="40"/>
      <c r="G294" s="40"/>
      <c r="H294" s="24">
        <f>'4.pielikums'!B257</f>
        <v>19842</v>
      </c>
    </row>
    <row r="295" spans="1:8" ht="15" customHeight="1">
      <c r="A295" s="27"/>
      <c r="B295" s="53" t="s">
        <v>194</v>
      </c>
      <c r="C295" s="48"/>
      <c r="D295" s="40">
        <f t="shared" si="25"/>
        <v>40624.000000000015</v>
      </c>
      <c r="E295" s="40"/>
      <c r="F295" s="40"/>
      <c r="G295" s="40">
        <f>141328/1.1</f>
        <v>128479.99999999999</v>
      </c>
      <c r="H295" s="24">
        <f>'4.pielikums'!B258</f>
        <v>169104</v>
      </c>
    </row>
    <row r="296" spans="1:8" ht="15" customHeight="1">
      <c r="A296" s="27"/>
      <c r="B296" s="43" t="s">
        <v>46</v>
      </c>
      <c r="C296" s="48"/>
      <c r="D296" s="40">
        <f t="shared" si="25"/>
        <v>8000</v>
      </c>
      <c r="E296" s="40"/>
      <c r="F296" s="40"/>
      <c r="G296" s="40"/>
      <c r="H296" s="24">
        <f>'4.pielikums'!B259</f>
        <v>8000</v>
      </c>
    </row>
    <row r="297" spans="1:8" ht="30" customHeight="1">
      <c r="A297" s="27"/>
      <c r="B297" s="45" t="s">
        <v>76</v>
      </c>
      <c r="C297" s="48"/>
      <c r="D297" s="40">
        <f>H297-E297-G297-F297-C297</f>
        <v>151350</v>
      </c>
      <c r="E297" s="40"/>
      <c r="F297" s="40"/>
      <c r="G297" s="40"/>
      <c r="H297" s="24">
        <f>'4.pielikums'!B260</f>
        <v>151350</v>
      </c>
    </row>
    <row r="298" spans="1:8" ht="30" customHeight="1">
      <c r="A298" s="27"/>
      <c r="B298" s="45" t="s">
        <v>59</v>
      </c>
      <c r="C298" s="48">
        <v>4999</v>
      </c>
      <c r="D298" s="40">
        <f t="shared" si="25"/>
        <v>0</v>
      </c>
      <c r="E298" s="40"/>
      <c r="F298" s="40"/>
      <c r="G298" s="40"/>
      <c r="H298" s="24">
        <f>'4.pielikums'!B261</f>
        <v>4999</v>
      </c>
    </row>
    <row r="299" spans="1:8" ht="30" customHeight="1">
      <c r="A299" s="63"/>
      <c r="B299" s="45" t="s">
        <v>220</v>
      </c>
      <c r="C299" s="48">
        <v>58699</v>
      </c>
      <c r="D299" s="40">
        <f t="shared" si="25"/>
        <v>0</v>
      </c>
      <c r="E299" s="40"/>
      <c r="F299" s="40">
        <v>2760</v>
      </c>
      <c r="G299" s="40"/>
      <c r="H299" s="24">
        <f>'4.pielikums'!B262</f>
        <v>61459</v>
      </c>
    </row>
    <row r="300" spans="1:8" ht="30" customHeight="1">
      <c r="A300" s="63"/>
      <c r="B300" s="19" t="s">
        <v>153</v>
      </c>
      <c r="C300" s="48">
        <v>56655</v>
      </c>
      <c r="D300" s="40">
        <f t="shared" si="25"/>
        <v>0</v>
      </c>
      <c r="E300" s="40"/>
      <c r="F300" s="40">
        <v>20000</v>
      </c>
      <c r="G300" s="40"/>
      <c r="H300" s="24">
        <f>'4.pielikums'!B263</f>
        <v>76655</v>
      </c>
    </row>
    <row r="301" spans="1:8" ht="15" customHeight="1">
      <c r="A301" s="63"/>
      <c r="B301" s="19" t="s">
        <v>243</v>
      </c>
      <c r="C301" s="48">
        <v>2150</v>
      </c>
      <c r="D301" s="40">
        <f t="shared" si="25"/>
        <v>0</v>
      </c>
      <c r="E301" s="40"/>
      <c r="F301" s="40"/>
      <c r="G301" s="40"/>
      <c r="H301" s="24">
        <f>'4.pielikums'!B264</f>
        <v>2150</v>
      </c>
    </row>
    <row r="302" spans="1:8" ht="30" customHeight="1">
      <c r="A302" s="63"/>
      <c r="B302" s="19" t="s">
        <v>635</v>
      </c>
      <c r="C302" s="48">
        <v>2585</v>
      </c>
      <c r="D302" s="40">
        <f t="shared" si="25"/>
        <v>1830</v>
      </c>
      <c r="E302" s="40"/>
      <c r="F302" s="40"/>
      <c r="G302" s="40"/>
      <c r="H302" s="24">
        <f>'4.pielikums'!B265</f>
        <v>4415</v>
      </c>
    </row>
    <row r="303" spans="1:8" ht="62.1" customHeight="1">
      <c r="A303" s="63"/>
      <c r="B303" s="19" t="s">
        <v>636</v>
      </c>
      <c r="C303" s="48">
        <v>2326</v>
      </c>
      <c r="D303" s="40">
        <f t="shared" si="25"/>
        <v>5785</v>
      </c>
      <c r="E303" s="40"/>
      <c r="F303" s="40"/>
      <c r="G303" s="40"/>
      <c r="H303" s="24">
        <f>'4.pielikums'!B266</f>
        <v>8111</v>
      </c>
    </row>
    <row r="304" spans="1:8" ht="62.1" customHeight="1">
      <c r="A304" s="63"/>
      <c r="B304" s="19" t="s">
        <v>637</v>
      </c>
      <c r="C304" s="48">
        <v>4370</v>
      </c>
      <c r="D304" s="40">
        <f t="shared" si="25"/>
        <v>0</v>
      </c>
      <c r="E304" s="40"/>
      <c r="F304" s="40"/>
      <c r="G304" s="40"/>
      <c r="H304" s="24">
        <f>'4.pielikums'!B267</f>
        <v>4370</v>
      </c>
    </row>
    <row r="305" spans="1:8" ht="45" customHeight="1">
      <c r="A305" s="63"/>
      <c r="B305" s="19" t="s">
        <v>256</v>
      </c>
      <c r="C305" s="48">
        <v>388</v>
      </c>
      <c r="D305" s="40">
        <f t="shared" si="25"/>
        <v>6235</v>
      </c>
      <c r="E305" s="40"/>
      <c r="F305" s="40">
        <v>8966</v>
      </c>
      <c r="G305" s="40"/>
      <c r="H305" s="24">
        <f>'4.pielikums'!B268</f>
        <v>15589</v>
      </c>
    </row>
    <row r="306" spans="1:8" ht="30" customHeight="1">
      <c r="A306" s="63"/>
      <c r="B306" s="19" t="s">
        <v>242</v>
      </c>
      <c r="C306" s="48">
        <v>16490</v>
      </c>
      <c r="D306" s="40">
        <f t="shared" si="25"/>
        <v>1303</v>
      </c>
      <c r="E306" s="40"/>
      <c r="F306" s="40"/>
      <c r="G306" s="40"/>
      <c r="H306" s="24">
        <f>'4.pielikums'!B269</f>
        <v>17793</v>
      </c>
    </row>
    <row r="307" spans="1:8" ht="45" customHeight="1">
      <c r="A307" s="63"/>
      <c r="B307" s="52" t="s">
        <v>596</v>
      </c>
      <c r="C307" s="48"/>
      <c r="D307" s="40">
        <f t="shared" si="25"/>
        <v>6975</v>
      </c>
      <c r="E307" s="40"/>
      <c r="F307" s="40">
        <v>26521</v>
      </c>
      <c r="G307" s="40"/>
      <c r="H307" s="24">
        <f>'4.pielikums'!B270</f>
        <v>33496</v>
      </c>
    </row>
    <row r="308" spans="1:8" ht="45" customHeight="1">
      <c r="A308" s="63"/>
      <c r="B308" s="52" t="s">
        <v>257</v>
      </c>
      <c r="C308" s="48">
        <v>2738</v>
      </c>
      <c r="D308" s="40">
        <f t="shared" si="25"/>
        <v>0</v>
      </c>
      <c r="E308" s="40"/>
      <c r="F308" s="40">
        <v>8712</v>
      </c>
      <c r="G308" s="40"/>
      <c r="H308" s="24">
        <f>'4.pielikums'!B271</f>
        <v>11450</v>
      </c>
    </row>
    <row r="309" spans="1:8" ht="45" customHeight="1">
      <c r="A309" s="63"/>
      <c r="B309" s="52" t="s">
        <v>666</v>
      </c>
      <c r="C309" s="48"/>
      <c r="D309" s="40">
        <f t="shared" si="25"/>
        <v>0</v>
      </c>
      <c r="E309" s="40"/>
      <c r="F309" s="40">
        <v>2000</v>
      </c>
      <c r="G309" s="40"/>
      <c r="H309" s="24">
        <f>'4.pielikums'!B306</f>
        <v>2000</v>
      </c>
    </row>
    <row r="310" spans="1:8" ht="15" customHeight="1">
      <c r="A310" s="63"/>
      <c r="B310" s="45" t="s">
        <v>248</v>
      </c>
      <c r="C310" s="48"/>
      <c r="D310" s="40">
        <f t="shared" si="25"/>
        <v>51760</v>
      </c>
      <c r="E310" s="40"/>
      <c r="F310" s="40"/>
      <c r="G310" s="40"/>
      <c r="H310" s="24">
        <f>'4.pielikums'!B272</f>
        <v>51760</v>
      </c>
    </row>
    <row r="311" spans="1:8" ht="30" customHeight="1">
      <c r="A311" s="63"/>
      <c r="B311" s="45" t="s">
        <v>244</v>
      </c>
      <c r="C311" s="48"/>
      <c r="D311" s="40">
        <f t="shared" si="25"/>
        <v>0</v>
      </c>
      <c r="E311" s="40"/>
      <c r="F311" s="40">
        <v>244109</v>
      </c>
      <c r="G311" s="40">
        <v>551892</v>
      </c>
      <c r="H311" s="24">
        <f>'4.pielikums'!B273</f>
        <v>796001</v>
      </c>
    </row>
    <row r="312" spans="1:8" ht="30" customHeight="1">
      <c r="A312" s="63"/>
      <c r="B312" s="45" t="s">
        <v>247</v>
      </c>
      <c r="C312" s="48"/>
      <c r="D312" s="40">
        <f t="shared" si="25"/>
        <v>0</v>
      </c>
      <c r="E312" s="40"/>
      <c r="F312" s="40">
        <v>137225</v>
      </c>
      <c r="G312" s="40">
        <v>243562</v>
      </c>
      <c r="H312" s="24">
        <f>'4.pielikums'!B274</f>
        <v>380787</v>
      </c>
    </row>
    <row r="313" spans="1:8" ht="15" customHeight="1">
      <c r="A313" s="1" t="s">
        <v>322</v>
      </c>
      <c r="B313" s="38" t="s">
        <v>323</v>
      </c>
      <c r="C313" s="39">
        <f t="shared" si="30" ref="C313:H313">=C314+C315</f>
        <v>40119</v>
      </c>
      <c r="D313" s="39">
        <f t="shared" si="30"/>
        <v>2612312</v>
      </c>
      <c r="E313" s="39">
        <f t="shared" si="30"/>
        <v>1539641</v>
      </c>
      <c r="F313" s="39">
        <f t="shared" si="30"/>
        <v>1840643</v>
      </c>
      <c r="G313" s="39">
        <f t="shared" si="30"/>
        <v>0</v>
      </c>
      <c r="H313" s="24">
        <f t="shared" si="30"/>
        <v>6032715</v>
      </c>
    </row>
    <row r="314" spans="1:8" ht="15" customHeight="1">
      <c r="A314" s="1"/>
      <c r="B314" s="27" t="s">
        <v>48</v>
      </c>
      <c r="C314" s="58"/>
      <c r="D314" s="40">
        <f t="shared" si="25"/>
        <v>226717</v>
      </c>
      <c r="E314" s="40">
        <v>11000</v>
      </c>
      <c r="F314" s="40"/>
      <c r="G314" s="40"/>
      <c r="H314" s="24">
        <f>'4.pielikums'!B275</f>
        <v>237717</v>
      </c>
    </row>
    <row r="315" spans="1:8" ht="30" customHeight="1">
      <c r="A315" s="51"/>
      <c r="B315" s="64" t="s">
        <v>324</v>
      </c>
      <c r="C315" s="39">
        <f t="shared" si="31" ref="C315:H315">=SUM(C316:C334)</f>
        <v>40119</v>
      </c>
      <c r="D315" s="39">
        <f t="shared" si="31"/>
        <v>2385595</v>
      </c>
      <c r="E315" s="39">
        <f t="shared" si="31"/>
        <v>1528641</v>
      </c>
      <c r="F315" s="39">
        <f>SUM(F316:F334)</f>
        <v>1840643</v>
      </c>
      <c r="G315" s="39">
        <f t="shared" si="31"/>
        <v>0</v>
      </c>
      <c r="H315" s="24">
        <f t="shared" si="31"/>
        <v>5794998</v>
      </c>
    </row>
    <row r="316" spans="1:8" ht="15" customHeight="1">
      <c r="A316" s="1"/>
      <c r="B316" s="27" t="s">
        <v>179</v>
      </c>
      <c r="C316" s="58"/>
      <c r="D316" s="40">
        <f t="shared" si="25"/>
        <v>648189</v>
      </c>
      <c r="E316" s="40">
        <f>25190+3000+400</f>
        <v>28590</v>
      </c>
      <c r="F316" s="40"/>
      <c r="G316" s="40"/>
      <c r="H316" s="24">
        <f>'4.pielikums'!B276</f>
        <v>676779</v>
      </c>
    </row>
    <row r="317" spans="1:8" ht="15" customHeight="1">
      <c r="A317" s="1"/>
      <c r="B317" s="27" t="s">
        <v>229</v>
      </c>
      <c r="C317" s="58"/>
      <c r="D317" s="40">
        <f t="shared" si="25"/>
        <v>648939</v>
      </c>
      <c r="E317" s="40"/>
      <c r="F317" s="40">
        <f>25441+53978+231715</f>
        <v>311134</v>
      </c>
      <c r="G317" s="40"/>
      <c r="H317" s="24">
        <f>'4.pielikums'!B277</f>
        <v>960073</v>
      </c>
    </row>
    <row r="318" spans="1:8" ht="15" customHeight="1">
      <c r="A318" s="1"/>
      <c r="B318" s="27" t="s">
        <v>173</v>
      </c>
      <c r="C318" s="58"/>
      <c r="D318" s="40">
        <f t="shared" si="32" ref="D318:D334">=H318-E318-G318-F318-C318</f>
        <v>19690</v>
      </c>
      <c r="E318" s="40"/>
      <c r="F318" s="40"/>
      <c r="G318" s="40"/>
      <c r="H318" s="24">
        <f>'4.pielikums'!B278</f>
        <v>19690</v>
      </c>
    </row>
    <row r="319" spans="1:8" ht="15" customHeight="1">
      <c r="A319" s="1"/>
      <c r="B319" s="27" t="s">
        <v>49</v>
      </c>
      <c r="C319" s="58"/>
      <c r="D319" s="40">
        <f t="shared" si="32"/>
        <v>11213</v>
      </c>
      <c r="E319" s="40">
        <f>10600</f>
        <v>10600</v>
      </c>
      <c r="F319" s="40"/>
      <c r="G319" s="40"/>
      <c r="H319" s="24">
        <f>'4.pielikums'!B279</f>
        <v>21813</v>
      </c>
    </row>
    <row r="320" spans="1:8" ht="15" customHeight="1">
      <c r="A320" s="1"/>
      <c r="B320" s="27" t="s">
        <v>61</v>
      </c>
      <c r="C320" s="58"/>
      <c r="D320" s="40">
        <f t="shared" si="32"/>
        <v>143002</v>
      </c>
      <c r="E320" s="40">
        <f>2910</f>
        <v>2910</v>
      </c>
      <c r="F320" s="40">
        <v>828</v>
      </c>
      <c r="G320" s="40"/>
      <c r="H320" s="24">
        <f>'4.pielikums'!B280</f>
        <v>146740</v>
      </c>
    </row>
    <row r="321" spans="1:8" ht="15" customHeight="1">
      <c r="A321" s="49"/>
      <c r="B321" s="27" t="s">
        <v>47</v>
      </c>
      <c r="C321" s="58"/>
      <c r="D321" s="40">
        <f t="shared" si="32"/>
        <v>686088</v>
      </c>
      <c r="E321" s="40">
        <f>2700+9000+884800+12000+2000</f>
        <v>910500</v>
      </c>
      <c r="F321" s="40">
        <f>23256</f>
        <v>23256</v>
      </c>
      <c r="G321" s="40"/>
      <c r="H321" s="24">
        <f>'4.pielikums'!B281</f>
        <v>1619844</v>
      </c>
    </row>
    <row r="322" spans="1:8" ht="15" customHeight="1">
      <c r="A322" s="49"/>
      <c r="B322" s="43" t="s">
        <v>121</v>
      </c>
      <c r="C322" s="48"/>
      <c r="D322" s="40">
        <f t="shared" si="32"/>
        <v>125376</v>
      </c>
      <c r="E322" s="40">
        <f>147580+2314</f>
        <v>149894</v>
      </c>
      <c r="F322" s="40">
        <f>7752+16650</f>
        <v>24402</v>
      </c>
      <c r="G322" s="40"/>
      <c r="H322" s="24">
        <f>'4.pielikums'!B282</f>
        <v>299672</v>
      </c>
    </row>
    <row r="323" spans="1:8" ht="15" customHeight="1">
      <c r="A323" s="49"/>
      <c r="B323" s="50" t="s">
        <v>123</v>
      </c>
      <c r="C323" s="48"/>
      <c r="D323" s="40">
        <f t="shared" si="32"/>
        <v>3573</v>
      </c>
      <c r="E323" s="40">
        <f>172055+1850</f>
        <v>173905</v>
      </c>
      <c r="F323" s="40">
        <f>12000</f>
        <v>12000</v>
      </c>
      <c r="G323" s="40"/>
      <c r="H323" s="24">
        <f>'4.pielikums'!B283</f>
        <v>189478</v>
      </c>
    </row>
    <row r="324" spans="1:8" ht="15" customHeight="1">
      <c r="A324" s="49"/>
      <c r="B324" s="50" t="s">
        <v>122</v>
      </c>
      <c r="C324" s="48"/>
      <c r="D324" s="40">
        <f t="shared" si="32"/>
        <v>26452</v>
      </c>
      <c r="E324" s="40">
        <f>227440+1250</f>
        <v>228690</v>
      </c>
      <c r="F324" s="40">
        <f>15500</f>
        <v>15500</v>
      </c>
      <c r="G324" s="40"/>
      <c r="H324" s="24">
        <f>'4.pielikums'!B284</f>
        <v>270642</v>
      </c>
    </row>
    <row r="325" spans="1:8" ht="30" customHeight="1">
      <c r="A325" s="49"/>
      <c r="B325" s="45" t="s">
        <v>79</v>
      </c>
      <c r="C325" s="48"/>
      <c r="D325" s="40">
        <f t="shared" si="32"/>
        <v>0</v>
      </c>
      <c r="E325" s="40">
        <f>2502+10796</f>
        <v>13298</v>
      </c>
      <c r="F325" s="40">
        <v>298623</v>
      </c>
      <c r="G325" s="40"/>
      <c r="H325" s="24">
        <f>'4.pielikums'!B285</f>
        <v>311921</v>
      </c>
    </row>
    <row r="326" spans="1:8" ht="30" customHeight="1">
      <c r="A326" s="49"/>
      <c r="B326" s="52" t="s">
        <v>180</v>
      </c>
      <c r="C326" s="48"/>
      <c r="D326" s="40">
        <f t="shared" si="32"/>
        <v>31534</v>
      </c>
      <c r="E326" s="40"/>
      <c r="F326" s="40">
        <v>49643</v>
      </c>
      <c r="G326" s="40"/>
      <c r="H326" s="24">
        <f>'4.pielikums'!B286</f>
        <v>81177</v>
      </c>
    </row>
    <row r="327" spans="1:8" ht="30" customHeight="1">
      <c r="A327" s="49"/>
      <c r="B327" s="19" t="s">
        <v>181</v>
      </c>
      <c r="C327" s="48"/>
      <c r="D327" s="40">
        <f t="shared" si="32"/>
        <v>21187</v>
      </c>
      <c r="E327" s="40">
        <f>9034</f>
        <v>9034</v>
      </c>
      <c r="F327" s="40">
        <v>101834</v>
      </c>
      <c r="G327" s="40"/>
      <c r="H327" s="24">
        <f>'4.pielikums'!B287</f>
        <v>132055</v>
      </c>
    </row>
    <row r="328" spans="1:8" ht="30" customHeight="1">
      <c r="A328" s="49"/>
      <c r="B328" s="52" t="s">
        <v>161</v>
      </c>
      <c r="C328" s="48"/>
      <c r="D328" s="40">
        <f t="shared" si="32"/>
        <v>4935</v>
      </c>
      <c r="E328" s="40">
        <f>600</f>
        <v>600</v>
      </c>
      <c r="F328" s="40"/>
      <c r="G328" s="40"/>
      <c r="H328" s="24">
        <f>'4.pielikums'!B288</f>
        <v>5535</v>
      </c>
    </row>
    <row r="329" spans="1:8" ht="30" customHeight="1">
      <c r="A329" s="49"/>
      <c r="B329" s="52" t="s">
        <v>595</v>
      </c>
      <c r="C329" s="48"/>
      <c r="D329" s="40">
        <f t="shared" si="32"/>
        <v>0</v>
      </c>
      <c r="E329" s="40">
        <f>620</f>
        <v>620</v>
      </c>
      <c r="F329" s="40"/>
      <c r="G329" s="40"/>
      <c r="H329" s="24">
        <f>'4.pielikums'!B289</f>
        <v>620</v>
      </c>
    </row>
    <row r="330" spans="1:8" ht="30" customHeight="1">
      <c r="A330" s="49"/>
      <c r="B330" s="45" t="s">
        <v>326</v>
      </c>
      <c r="C330" s="48"/>
      <c r="D330" s="40">
        <f t="shared" si="32"/>
        <v>0</v>
      </c>
      <c r="E330" s="40"/>
      <c r="F330" s="40">
        <v>484637</v>
      </c>
      <c r="G330" s="40"/>
      <c r="H330" s="24">
        <f>'4.pielikums'!B290</f>
        <v>484637</v>
      </c>
    </row>
    <row r="331" spans="1:8" ht="30" customHeight="1">
      <c r="A331" s="49"/>
      <c r="B331" s="45" t="s">
        <v>56</v>
      </c>
      <c r="C331" s="48"/>
      <c r="D331" s="40">
        <f t="shared" si="32"/>
        <v>0</v>
      </c>
      <c r="E331" s="40"/>
      <c r="F331" s="40">
        <v>462678</v>
      </c>
      <c r="G331" s="40"/>
      <c r="H331" s="24">
        <f>'4.pielikums'!B291</f>
        <v>462678</v>
      </c>
    </row>
    <row r="332" spans="1:8" ht="30" customHeight="1">
      <c r="A332" s="49"/>
      <c r="B332" s="43" t="s">
        <v>55</v>
      </c>
      <c r="C332" s="48">
        <v>1518</v>
      </c>
      <c r="D332" s="40">
        <f t="shared" si="32"/>
        <v>10467</v>
      </c>
      <c r="E332" s="40"/>
      <c r="F332" s="40">
        <v>46327</v>
      </c>
      <c r="G332" s="40"/>
      <c r="H332" s="24">
        <f>'4.pielikums'!B292</f>
        <v>58312</v>
      </c>
    </row>
    <row r="333" spans="1:8" ht="30" customHeight="1">
      <c r="A333" s="49"/>
      <c r="B333" s="43" t="s">
        <v>597</v>
      </c>
      <c r="C333" s="48">
        <v>38601</v>
      </c>
      <c r="D333" s="40">
        <f t="shared" si="32"/>
        <v>0</v>
      </c>
      <c r="E333" s="40"/>
      <c r="F333" s="40">
        <v>9781</v>
      </c>
      <c r="G333" s="40"/>
      <c r="H333" s="24">
        <f>'4.pielikums'!B310</f>
        <v>48382</v>
      </c>
    </row>
    <row r="334" spans="1:8" ht="30" customHeight="1">
      <c r="A334" s="49"/>
      <c r="B334" s="50" t="s">
        <v>325</v>
      </c>
      <c r="C334" s="48"/>
      <c r="D334" s="40">
        <f t="shared" si="32"/>
        <v>4950</v>
      </c>
      <c r="E334" s="40"/>
      <c r="F334" s="40"/>
      <c r="G334" s="40"/>
      <c r="H334" s="24">
        <f>'4.pielikums'!B206+'4.pielikums'!B293+'4.pielikums'!B294+'4.pielikums'!B295</f>
        <v>4950</v>
      </c>
    </row>
    <row r="335" spans="2:3" ht="15.75">
      <c r="B335" s="6"/>
      <c r="C335" s="6"/>
    </row>
    <row r="336" spans="2:3" s="5" customFormat="1" ht="15.75">
      <c r="B336" s="6" t="s">
        <v>327</v>
      </c>
      <c r="C336" s="6"/>
    </row>
    <row r="337" spans="2:3" ht="15.75">
      <c r="B337" s="34"/>
      <c r="C337" s="6"/>
    </row>
  </sheetData>
  <mergeCells count="6">
    <mergeCell ref="H9:H10"/>
    <mergeCell ref="B6:G6"/>
    <mergeCell ref="B7:G7"/>
    <mergeCell ref="A9:A10"/>
    <mergeCell ref="B9:B10"/>
    <mergeCell ref="D9:G9"/>
  </mergeCells>
  <pageMargins left="0.7" right="0.7" top="0.75" bottom="0.75" header="0.3" footer="0.3"/>
  <pageSetup orientation="landscape" paperSize="9" scale="8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D41542-A58D-4B25-AFFD-FE5C66A5A484}">
  <sheetPr>
    <pageSetUpPr fitToPage="1"/>
  </sheetPr>
  <dimension ref="A1:I325"/>
  <sheetViews>
    <sheetView tabSelected="1" workbookViewId="0" topLeftCell="A325">
      <selection pane="topLeft" activeCell="K41" sqref="K41"/>
    </sheetView>
  </sheetViews>
  <sheetFormatPr defaultColWidth="9.144285714285713" defaultRowHeight="15"/>
  <cols>
    <col min="1" max="1" width="34.57142857142857" style="34" customWidth="1"/>
    <col min="2" max="5" width="17.571428571428573" style="34" customWidth="1"/>
    <col min="6" max="6" width="16.428571428571427" style="34" customWidth="1"/>
    <col min="7" max="9" width="17.571428571428573" style="34" customWidth="1"/>
    <col min="10" max="16384" width="9.142857142857142" style="34"/>
  </cols>
  <sheetData>
    <row r="1" spans="5:9" ht="15" customHeight="1">
      <c r="E1" s="8"/>
      <c r="F1" s="8"/>
      <c r="G1" s="8"/>
      <c r="H1" s="8"/>
      <c r="I1" s="7" t="s">
        <v>165</v>
      </c>
    </row>
    <row r="2" spans="5:9" ht="15" customHeight="1">
      <c r="E2" s="8"/>
      <c r="F2" s="8"/>
      <c r="G2" s="8"/>
      <c r="H2" s="8"/>
      <c r="I2" s="8" t="s">
        <v>629</v>
      </c>
    </row>
    <row r="3" spans="5:9" ht="15" customHeight="1">
      <c r="E3" s="8"/>
      <c r="F3" s="8"/>
      <c r="G3" s="8"/>
      <c r="H3" s="8"/>
      <c r="I3" s="8" t="s">
        <v>668</v>
      </c>
    </row>
    <row r="4" spans="5:9" ht="15" customHeight="1">
      <c r="E4" s="8"/>
      <c r="F4" s="66"/>
      <c r="G4" s="8"/>
      <c r="H4" s="8"/>
      <c r="I4" s="8" t="s">
        <v>240</v>
      </c>
    </row>
    <row r="5" spans="5:9" ht="15" customHeight="1">
      <c r="E5" s="8"/>
      <c r="F5" s="66"/>
      <c r="G5" s="8"/>
      <c r="H5" s="8"/>
      <c r="I5" s="8"/>
    </row>
    <row r="6" spans="5:9" ht="15" customHeight="1">
      <c r="E6" s="66"/>
      <c r="F6" s="66"/>
      <c r="G6" s="66"/>
      <c r="H6" s="66"/>
      <c r="I6" s="66"/>
    </row>
    <row r="7" spans="1:9" ht="15" customHeight="1">
      <c r="A7" s="116" t="s">
        <v>233</v>
      </c>
      <c r="B7" s="116"/>
      <c r="C7" s="116"/>
      <c r="D7" s="116"/>
      <c r="E7" s="116"/>
      <c r="F7" s="116"/>
      <c r="G7" s="116"/>
      <c r="H7" s="116"/>
      <c r="I7" s="116"/>
    </row>
    <row r="8" ht="15" customHeight="1"/>
    <row r="9" spans="1:9" s="6" customFormat="1" ht="15" customHeight="1">
      <c r="A9" s="112" t="s">
        <v>0</v>
      </c>
      <c r="B9" s="111" t="s">
        <v>610</v>
      </c>
      <c r="C9" s="115" t="s">
        <v>88</v>
      </c>
      <c r="D9" s="115"/>
      <c r="E9" s="115"/>
      <c r="F9" s="115"/>
      <c r="G9" s="115"/>
      <c r="H9" s="115"/>
      <c r="I9" s="115"/>
    </row>
    <row r="10" spans="1:9" s="6" customFormat="1" ht="15" customHeight="1">
      <c r="A10" s="112"/>
      <c r="B10" s="111"/>
      <c r="C10" s="49">
        <v>1000</v>
      </c>
      <c r="D10" s="49">
        <v>2000</v>
      </c>
      <c r="E10" s="49">
        <v>3000</v>
      </c>
      <c r="F10" s="49">
        <v>4000</v>
      </c>
      <c r="G10" s="49">
        <v>5000</v>
      </c>
      <c r="H10" s="67">
        <v>6000</v>
      </c>
      <c r="I10" s="67">
        <v>7000</v>
      </c>
    </row>
    <row r="11" spans="1:9" s="6" customFormat="1" ht="47.25">
      <c r="A11" s="112"/>
      <c r="B11" s="111"/>
      <c r="C11" s="67" t="s">
        <v>83</v>
      </c>
      <c r="D11" s="67" t="s">
        <v>84</v>
      </c>
      <c r="E11" s="67" t="s">
        <v>85</v>
      </c>
      <c r="F11" s="67" t="s">
        <v>86</v>
      </c>
      <c r="G11" s="67" t="s">
        <v>87</v>
      </c>
      <c r="H11" s="67" t="s">
        <v>81</v>
      </c>
      <c r="I11" s="67" t="s">
        <v>82</v>
      </c>
    </row>
    <row r="12" spans="1:9" ht="15" customHeight="1">
      <c r="A12" s="68" t="s">
        <v>1</v>
      </c>
      <c r="B12" s="69">
        <f>SUM(C12:I12)</f>
        <v>1584888</v>
      </c>
      <c r="C12" s="70">
        <v>1385996</v>
      </c>
      <c r="D12" s="70">
        <v>197892</v>
      </c>
      <c r="E12" s="70"/>
      <c r="F12" s="70"/>
      <c r="G12" s="70">
        <v>1000</v>
      </c>
      <c r="H12" s="70"/>
      <c r="I12" s="70"/>
    </row>
    <row r="13" spans="1:9" ht="15" customHeight="1">
      <c r="A13" s="68" t="s">
        <v>2</v>
      </c>
      <c r="B13" s="69">
        <f t="shared" si="0" ref="B13:B76">=SUM(C13:I13)</f>
        <v>155358</v>
      </c>
      <c r="C13" s="70">
        <v>155358</v>
      </c>
      <c r="D13" s="70"/>
      <c r="E13" s="70"/>
      <c r="F13" s="70"/>
      <c r="G13" s="70"/>
      <c r="H13" s="70"/>
      <c r="I13" s="70"/>
    </row>
    <row r="14" spans="1:9" ht="30" customHeight="1">
      <c r="A14" s="68" t="s">
        <v>172</v>
      </c>
      <c r="B14" s="69">
        <f t="shared" si="0"/>
        <v>250642</v>
      </c>
      <c r="C14" s="70">
        <v>250642</v>
      </c>
      <c r="D14" s="70"/>
      <c r="E14" s="70"/>
      <c r="F14" s="70"/>
      <c r="G14" s="70"/>
      <c r="H14" s="70"/>
      <c r="I14" s="70"/>
    </row>
    <row r="15" spans="1:9" ht="15" customHeight="1">
      <c r="A15" s="68" t="s">
        <v>205</v>
      </c>
      <c r="B15" s="69">
        <f t="shared" si="0"/>
        <v>34578</v>
      </c>
      <c r="C15" s="70">
        <v>34578</v>
      </c>
      <c r="D15" s="70"/>
      <c r="E15" s="70"/>
      <c r="F15" s="70"/>
      <c r="G15" s="70"/>
      <c r="H15" s="70"/>
      <c r="I15" s="70"/>
    </row>
    <row r="16" spans="1:9" ht="15" customHeight="1">
      <c r="A16" s="68" t="s">
        <v>198</v>
      </c>
      <c r="B16" s="69">
        <f t="shared" si="0"/>
        <v>553228</v>
      </c>
      <c r="C16" s="70">
        <v>35665</v>
      </c>
      <c r="D16" s="70">
        <v>5868</v>
      </c>
      <c r="E16" s="70"/>
      <c r="F16" s="70"/>
      <c r="G16" s="70">
        <f>5500+380374+125821</f>
        <v>511695</v>
      </c>
      <c r="H16" s="70"/>
      <c r="I16" s="70"/>
    </row>
    <row r="17" spans="1:9" ht="15" customHeight="1">
      <c r="A17" s="71" t="s">
        <v>3</v>
      </c>
      <c r="B17" s="69">
        <f t="shared" si="0"/>
        <v>34564</v>
      </c>
      <c r="C17" s="70">
        <v>30978</v>
      </c>
      <c r="D17" s="70">
        <v>3586</v>
      </c>
      <c r="E17" s="70"/>
      <c r="F17" s="70"/>
      <c r="G17" s="70"/>
      <c r="H17" s="70"/>
      <c r="I17" s="70"/>
    </row>
    <row r="18" spans="1:9" ht="15" customHeight="1">
      <c r="A18" s="71" t="s">
        <v>91</v>
      </c>
      <c r="B18" s="69">
        <f t="shared" si="0"/>
        <v>74805</v>
      </c>
      <c r="C18" s="70">
        <v>47368</v>
      </c>
      <c r="D18" s="70">
        <v>27437</v>
      </c>
      <c r="E18" s="70"/>
      <c r="F18" s="70"/>
      <c r="G18" s="70"/>
      <c r="H18" s="70"/>
      <c r="I18" s="70"/>
    </row>
    <row r="19" spans="1:9" ht="15" customHeight="1">
      <c r="A19" s="71" t="s">
        <v>4</v>
      </c>
      <c r="B19" s="69">
        <f t="shared" si="0"/>
        <v>34798</v>
      </c>
      <c r="C19" s="70">
        <v>31299</v>
      </c>
      <c r="D19" s="70">
        <v>3499</v>
      </c>
      <c r="E19" s="70"/>
      <c r="F19" s="70"/>
      <c r="G19" s="70"/>
      <c r="H19" s="70"/>
      <c r="I19" s="70"/>
    </row>
    <row r="20" spans="1:9" ht="15" customHeight="1">
      <c r="A20" s="71" t="s">
        <v>5</v>
      </c>
      <c r="B20" s="69">
        <f t="shared" si="0"/>
        <v>49595</v>
      </c>
      <c r="C20" s="70">
        <v>36831</v>
      </c>
      <c r="D20" s="70">
        <v>12764</v>
      </c>
      <c r="E20" s="70"/>
      <c r="F20" s="70"/>
      <c r="G20" s="70"/>
      <c r="H20" s="70"/>
      <c r="I20" s="70"/>
    </row>
    <row r="21" spans="1:9" ht="15" customHeight="1">
      <c r="A21" s="71" t="s">
        <v>6</v>
      </c>
      <c r="B21" s="69">
        <f t="shared" si="0"/>
        <v>40318</v>
      </c>
      <c r="C21" s="70">
        <v>29342</v>
      </c>
      <c r="D21" s="70">
        <v>10976</v>
      </c>
      <c r="E21" s="70"/>
      <c r="F21" s="70"/>
      <c r="G21" s="70"/>
      <c r="H21" s="70"/>
      <c r="I21" s="70"/>
    </row>
    <row r="22" spans="1:9" ht="15" customHeight="1">
      <c r="A22" s="71" t="s">
        <v>7</v>
      </c>
      <c r="B22" s="69">
        <f t="shared" si="0"/>
        <v>39996</v>
      </c>
      <c r="C22" s="70">
        <v>30631</v>
      </c>
      <c r="D22" s="70">
        <v>9365</v>
      </c>
      <c r="E22" s="70"/>
      <c r="F22" s="70"/>
      <c r="G22" s="70"/>
      <c r="H22" s="70"/>
      <c r="I22" s="70"/>
    </row>
    <row r="23" spans="1:9" ht="15" customHeight="1">
      <c r="A23" s="71" t="s">
        <v>8</v>
      </c>
      <c r="B23" s="69">
        <f t="shared" si="0"/>
        <v>43440</v>
      </c>
      <c r="C23" s="70">
        <v>34818</v>
      </c>
      <c r="D23" s="70">
        <v>8622</v>
      </c>
      <c r="E23" s="70"/>
      <c r="F23" s="70"/>
      <c r="G23" s="70"/>
      <c r="H23" s="70"/>
      <c r="I23" s="70"/>
    </row>
    <row r="24" spans="1:9" ht="15" customHeight="1">
      <c r="A24" s="71" t="s">
        <v>92</v>
      </c>
      <c r="B24" s="69">
        <f t="shared" si="0"/>
        <v>35446</v>
      </c>
      <c r="C24" s="70">
        <v>30502</v>
      </c>
      <c r="D24" s="70">
        <v>4944</v>
      </c>
      <c r="E24" s="70"/>
      <c r="F24" s="70"/>
      <c r="G24" s="70"/>
      <c r="H24" s="70"/>
      <c r="I24" s="70"/>
    </row>
    <row r="25" spans="1:9" ht="15" customHeight="1">
      <c r="A25" s="71" t="s">
        <v>127</v>
      </c>
      <c r="B25" s="69">
        <f t="shared" si="0"/>
        <v>36877</v>
      </c>
      <c r="C25" s="70">
        <v>29109</v>
      </c>
      <c r="D25" s="70">
        <v>7768</v>
      </c>
      <c r="E25" s="70"/>
      <c r="F25" s="70"/>
      <c r="G25" s="70"/>
      <c r="H25" s="70"/>
      <c r="I25" s="70"/>
    </row>
    <row r="26" spans="1:9" ht="15" customHeight="1">
      <c r="A26" s="71" t="s">
        <v>9</v>
      </c>
      <c r="B26" s="69">
        <f t="shared" si="0"/>
        <v>23494</v>
      </c>
      <c r="C26" s="70">
        <v>20880</v>
      </c>
      <c r="D26" s="70">
        <v>2614</v>
      </c>
      <c r="E26" s="70"/>
      <c r="F26" s="70"/>
      <c r="G26" s="70"/>
      <c r="H26" s="70"/>
      <c r="I26" s="70"/>
    </row>
    <row r="27" spans="1:9" ht="15" customHeight="1">
      <c r="A27" s="71" t="s">
        <v>93</v>
      </c>
      <c r="B27" s="69">
        <f t="shared" si="0"/>
        <v>42551</v>
      </c>
      <c r="C27" s="70">
        <v>29340</v>
      </c>
      <c r="D27" s="70">
        <v>13211</v>
      </c>
      <c r="E27" s="70"/>
      <c r="F27" s="70"/>
      <c r="G27" s="70"/>
      <c r="H27" s="70"/>
      <c r="I27" s="70"/>
    </row>
    <row r="28" spans="1:9" ht="15" customHeight="1">
      <c r="A28" s="71" t="s">
        <v>128</v>
      </c>
      <c r="B28" s="69">
        <f t="shared" si="0"/>
        <v>50043</v>
      </c>
      <c r="C28" s="70">
        <v>34703</v>
      </c>
      <c r="D28" s="70">
        <v>15340</v>
      </c>
      <c r="E28" s="70"/>
      <c r="F28" s="70"/>
      <c r="G28" s="70"/>
      <c r="H28" s="70"/>
      <c r="I28" s="70"/>
    </row>
    <row r="29" spans="1:9" ht="15" customHeight="1">
      <c r="A29" s="71" t="s">
        <v>94</v>
      </c>
      <c r="B29" s="69">
        <f t="shared" si="0"/>
        <v>20658</v>
      </c>
      <c r="C29" s="70">
        <v>15232</v>
      </c>
      <c r="D29" s="70">
        <v>5426</v>
      </c>
      <c r="E29" s="70"/>
      <c r="F29" s="70"/>
      <c r="G29" s="70"/>
      <c r="H29" s="70"/>
      <c r="I29" s="70"/>
    </row>
    <row r="30" spans="1:9" ht="15" customHeight="1">
      <c r="A30" s="71" t="s">
        <v>95</v>
      </c>
      <c r="B30" s="69">
        <f t="shared" si="0"/>
        <v>48906</v>
      </c>
      <c r="C30" s="70">
        <v>39938</v>
      </c>
      <c r="D30" s="70">
        <v>8968</v>
      </c>
      <c r="E30" s="70"/>
      <c r="F30" s="70"/>
      <c r="G30" s="70"/>
      <c r="H30" s="70"/>
      <c r="I30" s="70"/>
    </row>
    <row r="31" spans="1:9" ht="15" customHeight="1">
      <c r="A31" s="71" t="s">
        <v>10</v>
      </c>
      <c r="B31" s="69">
        <f t="shared" si="0"/>
        <v>44053</v>
      </c>
      <c r="C31" s="70">
        <v>34026</v>
      </c>
      <c r="D31" s="70">
        <v>10027</v>
      </c>
      <c r="E31" s="70"/>
      <c r="F31" s="70"/>
      <c r="G31" s="70"/>
      <c r="H31" s="70"/>
      <c r="I31" s="70"/>
    </row>
    <row r="32" spans="1:9" ht="15" customHeight="1">
      <c r="A32" s="71" t="s">
        <v>11</v>
      </c>
      <c r="B32" s="69">
        <f t="shared" si="0"/>
        <v>34012</v>
      </c>
      <c r="C32" s="70">
        <v>28627</v>
      </c>
      <c r="D32" s="70">
        <v>5385</v>
      </c>
      <c r="E32" s="70"/>
      <c r="F32" s="70"/>
      <c r="G32" s="70"/>
      <c r="H32" s="70"/>
      <c r="I32" s="70"/>
    </row>
    <row r="33" spans="1:9" ht="15" customHeight="1">
      <c r="A33" s="71" t="s">
        <v>96</v>
      </c>
      <c r="B33" s="69">
        <f t="shared" si="0"/>
        <v>34090</v>
      </c>
      <c r="C33" s="70">
        <v>26699</v>
      </c>
      <c r="D33" s="70">
        <v>7391</v>
      </c>
      <c r="E33" s="70"/>
      <c r="F33" s="70"/>
      <c r="G33" s="70"/>
      <c r="H33" s="70"/>
      <c r="I33" s="70"/>
    </row>
    <row r="34" spans="1:9" ht="15" customHeight="1">
      <c r="A34" s="71" t="s">
        <v>12</v>
      </c>
      <c r="B34" s="69">
        <f t="shared" si="0"/>
        <v>39193</v>
      </c>
      <c r="C34" s="70">
        <v>34031</v>
      </c>
      <c r="D34" s="70">
        <v>5162</v>
      </c>
      <c r="E34" s="70"/>
      <c r="F34" s="70"/>
      <c r="G34" s="70"/>
      <c r="H34" s="70"/>
      <c r="I34" s="70"/>
    </row>
    <row r="35" spans="1:9" ht="15" customHeight="1">
      <c r="A35" s="71" t="s">
        <v>89</v>
      </c>
      <c r="B35" s="69">
        <f t="shared" si="0"/>
        <v>77938</v>
      </c>
      <c r="C35" s="70">
        <v>48121</v>
      </c>
      <c r="D35" s="70">
        <v>29817</v>
      </c>
      <c r="E35" s="70"/>
      <c r="F35" s="70"/>
      <c r="G35" s="70"/>
      <c r="H35" s="70"/>
      <c r="I35" s="70"/>
    </row>
    <row r="36" spans="1:9" ht="15" customHeight="1">
      <c r="A36" s="71" t="s">
        <v>97</v>
      </c>
      <c r="B36" s="69">
        <f t="shared" si="0"/>
        <v>37510</v>
      </c>
      <c r="C36" s="70">
        <v>30183</v>
      </c>
      <c r="D36" s="70">
        <v>7327</v>
      </c>
      <c r="E36" s="70"/>
      <c r="F36" s="70"/>
      <c r="G36" s="70"/>
      <c r="H36" s="70"/>
      <c r="I36" s="70"/>
    </row>
    <row r="37" spans="1:9" ht="30" customHeight="1">
      <c r="A37" s="71" t="s">
        <v>90</v>
      </c>
      <c r="B37" s="69">
        <f t="shared" si="0"/>
        <v>102288</v>
      </c>
      <c r="C37" s="70">
        <v>88457</v>
      </c>
      <c r="D37" s="70">
        <v>13831</v>
      </c>
      <c r="E37" s="70"/>
      <c r="F37" s="70"/>
      <c r="G37" s="70"/>
      <c r="H37" s="70"/>
      <c r="I37" s="70"/>
    </row>
    <row r="38" spans="1:9" ht="15" customHeight="1">
      <c r="A38" s="71" t="s">
        <v>13</v>
      </c>
      <c r="B38" s="69">
        <f t="shared" si="0"/>
        <v>6000</v>
      </c>
      <c r="C38" s="70"/>
      <c r="D38" s="70">
        <v>6000</v>
      </c>
      <c r="E38" s="70"/>
      <c r="F38" s="70"/>
      <c r="G38" s="70"/>
      <c r="H38" s="70"/>
      <c r="I38" s="70"/>
    </row>
    <row r="39" spans="1:9" ht="15" customHeight="1">
      <c r="A39" s="71" t="s">
        <v>14</v>
      </c>
      <c r="B39" s="69">
        <f t="shared" si="0"/>
        <v>45250</v>
      </c>
      <c r="C39" s="70"/>
      <c r="D39" s="70">
        <v>41850</v>
      </c>
      <c r="E39" s="70">
        <v>3400</v>
      </c>
      <c r="F39" s="70"/>
      <c r="G39" s="70"/>
      <c r="H39" s="70"/>
      <c r="I39" s="70"/>
    </row>
    <row r="40" spans="1:9" ht="30" customHeight="1">
      <c r="A40" s="71" t="s">
        <v>175</v>
      </c>
      <c r="B40" s="69">
        <f t="shared" si="0"/>
        <v>441606</v>
      </c>
      <c r="C40" s="70"/>
      <c r="D40" s="70">
        <v>23776</v>
      </c>
      <c r="E40" s="70"/>
      <c r="F40" s="70">
        <v>417830</v>
      </c>
      <c r="G40" s="70"/>
      <c r="H40" s="70"/>
      <c r="I40" s="70"/>
    </row>
    <row r="41" spans="1:9" ht="15" customHeight="1">
      <c r="A41" s="71" t="s">
        <v>254</v>
      </c>
      <c r="B41" s="69">
        <f t="shared" si="0"/>
        <v>25492</v>
      </c>
      <c r="C41" s="70"/>
      <c r="D41" s="70"/>
      <c r="E41" s="70"/>
      <c r="F41" s="70"/>
      <c r="G41" s="70">
        <v>25492</v>
      </c>
      <c r="H41" s="70"/>
      <c r="I41" s="70"/>
    </row>
    <row r="42" spans="1:9" ht="15" customHeight="1">
      <c r="A42" s="71" t="s">
        <v>15</v>
      </c>
      <c r="B42" s="69">
        <f t="shared" si="0"/>
        <v>85105</v>
      </c>
      <c r="C42" s="70">
        <v>67634</v>
      </c>
      <c r="D42" s="70">
        <v>17471</v>
      </c>
      <c r="E42" s="70"/>
      <c r="F42" s="70"/>
      <c r="G42" s="70"/>
      <c r="H42" s="70"/>
      <c r="I42" s="70"/>
    </row>
    <row r="43" spans="1:9" ht="15" customHeight="1">
      <c r="A43" s="71" t="s">
        <v>16</v>
      </c>
      <c r="B43" s="69">
        <f t="shared" si="0"/>
        <v>173642</v>
      </c>
      <c r="C43" s="70">
        <v>153754</v>
      </c>
      <c r="D43" s="70">
        <v>19888</v>
      </c>
      <c r="E43" s="70"/>
      <c r="F43" s="70"/>
      <c r="G43" s="70"/>
      <c r="H43" s="70"/>
      <c r="I43" s="70"/>
    </row>
    <row r="44" spans="1:9" ht="15" customHeight="1">
      <c r="A44" s="72" t="s">
        <v>54</v>
      </c>
      <c r="B44" s="69">
        <f t="shared" si="0"/>
        <v>56921</v>
      </c>
      <c r="C44" s="70">
        <v>54104</v>
      </c>
      <c r="D44" s="70">
        <v>2817</v>
      </c>
      <c r="E44" s="70"/>
      <c r="F44" s="70"/>
      <c r="G44" s="70"/>
      <c r="H44" s="70"/>
      <c r="I44" s="70"/>
    </row>
    <row r="45" spans="1:9" ht="15" customHeight="1">
      <c r="A45" s="71" t="s">
        <v>17</v>
      </c>
      <c r="B45" s="69">
        <f t="shared" si="0"/>
        <v>75147</v>
      </c>
      <c r="C45" s="70">
        <v>72469</v>
      </c>
      <c r="D45" s="70">
        <v>2678</v>
      </c>
      <c r="E45" s="70"/>
      <c r="F45" s="70"/>
      <c r="G45" s="70"/>
      <c r="H45" s="70"/>
      <c r="I45" s="70"/>
    </row>
    <row r="46" spans="1:9" ht="15" customHeight="1">
      <c r="A46" s="71" t="s">
        <v>18</v>
      </c>
      <c r="B46" s="69">
        <f t="shared" si="0"/>
        <v>96522</v>
      </c>
      <c r="C46" s="70"/>
      <c r="D46" s="70">
        <v>96522</v>
      </c>
      <c r="E46" s="70"/>
      <c r="F46" s="70"/>
      <c r="G46" s="70"/>
      <c r="H46" s="70"/>
      <c r="I46" s="70"/>
    </row>
    <row r="47" spans="1:9" ht="30" customHeight="1">
      <c r="A47" s="71" t="s">
        <v>58</v>
      </c>
      <c r="B47" s="69">
        <f t="shared" si="0"/>
        <v>3244</v>
      </c>
      <c r="C47" s="70"/>
      <c r="D47" s="70"/>
      <c r="E47" s="70"/>
      <c r="F47" s="70"/>
      <c r="G47" s="70"/>
      <c r="H47" s="70"/>
      <c r="I47" s="70">
        <v>3244</v>
      </c>
    </row>
    <row r="48" spans="1:9" ht="30" customHeight="1">
      <c r="A48" s="71" t="s">
        <v>60</v>
      </c>
      <c r="B48" s="69">
        <f t="shared" si="0"/>
        <v>183983</v>
      </c>
      <c r="C48" s="70">
        <v>76014</v>
      </c>
      <c r="D48" s="70">
        <v>107969</v>
      </c>
      <c r="E48" s="70"/>
      <c r="F48" s="70"/>
      <c r="G48" s="70"/>
      <c r="H48" s="70"/>
      <c r="I48" s="70"/>
    </row>
    <row r="49" spans="1:9" ht="15" customHeight="1">
      <c r="A49" s="73" t="s">
        <v>184</v>
      </c>
      <c r="B49" s="69">
        <f t="shared" si="0"/>
        <v>50000</v>
      </c>
      <c r="C49" s="70"/>
      <c r="D49" s="70"/>
      <c r="E49" s="70">
        <v>50000</v>
      </c>
      <c r="F49" s="70"/>
      <c r="G49" s="70"/>
      <c r="H49" s="70"/>
      <c r="I49" s="70"/>
    </row>
    <row r="50" spans="1:9" ht="30" customHeight="1">
      <c r="A50" s="72" t="s">
        <v>63</v>
      </c>
      <c r="B50" s="69">
        <f t="shared" si="0"/>
        <v>117893</v>
      </c>
      <c r="C50" s="70"/>
      <c r="D50" s="70">
        <v>114937</v>
      </c>
      <c r="E50" s="70"/>
      <c r="F50" s="70"/>
      <c r="G50" s="70">
        <v>2956</v>
      </c>
      <c r="H50" s="70"/>
      <c r="I50" s="70"/>
    </row>
    <row r="51" spans="1:9" ht="30" customHeight="1">
      <c r="A51" s="72" t="s">
        <v>214</v>
      </c>
      <c r="B51" s="69">
        <f t="shared" si="0"/>
        <v>46305</v>
      </c>
      <c r="C51" s="70"/>
      <c r="D51" s="70">
        <v>46305</v>
      </c>
      <c r="E51" s="70"/>
      <c r="F51" s="70"/>
      <c r="G51" s="70"/>
      <c r="H51" s="70"/>
      <c r="I51" s="70"/>
    </row>
    <row r="52" spans="1:9" ht="30" customHeight="1">
      <c r="A52" s="72" t="s">
        <v>64</v>
      </c>
      <c r="B52" s="69">
        <f t="shared" si="0"/>
        <v>34688</v>
      </c>
      <c r="C52" s="70"/>
      <c r="D52" s="70">
        <v>34688</v>
      </c>
      <c r="E52" s="70"/>
      <c r="F52" s="70"/>
      <c r="G52" s="70"/>
      <c r="H52" s="70"/>
      <c r="I52" s="70"/>
    </row>
    <row r="53" spans="1:9" ht="30" customHeight="1">
      <c r="A53" s="72" t="s">
        <v>65</v>
      </c>
      <c r="B53" s="69">
        <f t="shared" si="0"/>
        <v>19249</v>
      </c>
      <c r="C53" s="70"/>
      <c r="D53" s="70">
        <v>19249</v>
      </c>
      <c r="E53" s="70"/>
      <c r="F53" s="70"/>
      <c r="G53" s="70"/>
      <c r="H53" s="70"/>
      <c r="I53" s="70"/>
    </row>
    <row r="54" spans="1:9" ht="30" customHeight="1">
      <c r="A54" s="72" t="s">
        <v>66</v>
      </c>
      <c r="B54" s="69">
        <f t="shared" si="0"/>
        <v>54033</v>
      </c>
      <c r="C54" s="70"/>
      <c r="D54" s="70">
        <v>47038</v>
      </c>
      <c r="E54" s="70"/>
      <c r="F54" s="70"/>
      <c r="G54" s="70">
        <v>6995</v>
      </c>
      <c r="H54" s="70"/>
      <c r="I54" s="70"/>
    </row>
    <row r="55" spans="1:9" ht="30" customHeight="1">
      <c r="A55" s="72" t="s">
        <v>67</v>
      </c>
      <c r="B55" s="69">
        <f t="shared" si="0"/>
        <v>32382</v>
      </c>
      <c r="C55" s="70"/>
      <c r="D55" s="70">
        <v>32382</v>
      </c>
      <c r="E55" s="70"/>
      <c r="F55" s="70"/>
      <c r="G55" s="70"/>
      <c r="H55" s="70"/>
      <c r="I55" s="70"/>
    </row>
    <row r="56" spans="1:9" ht="30" customHeight="1">
      <c r="A56" s="72" t="s">
        <v>68</v>
      </c>
      <c r="B56" s="69">
        <f t="shared" si="0"/>
        <v>31174</v>
      </c>
      <c r="C56" s="70"/>
      <c r="D56" s="70">
        <v>31174</v>
      </c>
      <c r="E56" s="70"/>
      <c r="F56" s="70"/>
      <c r="G56" s="70"/>
      <c r="H56" s="70"/>
      <c r="I56" s="70"/>
    </row>
    <row r="57" spans="1:9" ht="30" customHeight="1">
      <c r="A57" s="72" t="s">
        <v>69</v>
      </c>
      <c r="B57" s="69">
        <f t="shared" si="0"/>
        <v>42118</v>
      </c>
      <c r="C57" s="70"/>
      <c r="D57" s="70">
        <v>42118</v>
      </c>
      <c r="E57" s="70"/>
      <c r="F57" s="70"/>
      <c r="G57" s="70"/>
      <c r="H57" s="70"/>
      <c r="I57" s="70"/>
    </row>
    <row r="58" spans="1:9" ht="30" customHeight="1">
      <c r="A58" s="72" t="s">
        <v>212</v>
      </c>
      <c r="B58" s="69">
        <f t="shared" si="0"/>
        <v>13178</v>
      </c>
      <c r="C58" s="70">
        <v>3041</v>
      </c>
      <c r="D58" s="70">
        <v>10137</v>
      </c>
      <c r="E58" s="70"/>
      <c r="F58" s="70"/>
      <c r="G58" s="70"/>
      <c r="H58" s="70"/>
      <c r="I58" s="70"/>
    </row>
    <row r="59" spans="1:9" ht="30" customHeight="1">
      <c r="A59" s="72" t="s">
        <v>70</v>
      </c>
      <c r="B59" s="69">
        <f t="shared" si="0"/>
        <v>14853</v>
      </c>
      <c r="C59" s="70"/>
      <c r="D59" s="70">
        <v>14853</v>
      </c>
      <c r="E59" s="70"/>
      <c r="F59" s="70"/>
      <c r="G59" s="70"/>
      <c r="H59" s="70"/>
      <c r="I59" s="70"/>
    </row>
    <row r="60" spans="1:9" ht="30" customHeight="1">
      <c r="A60" s="72" t="s">
        <v>210</v>
      </c>
      <c r="B60" s="69">
        <f t="shared" si="0"/>
        <v>65170</v>
      </c>
      <c r="C60" s="70"/>
      <c r="D60" s="70">
        <v>45170</v>
      </c>
      <c r="E60" s="70"/>
      <c r="F60" s="70"/>
      <c r="G60" s="70">
        <v>20000</v>
      </c>
      <c r="H60" s="70"/>
      <c r="I60" s="70"/>
    </row>
    <row r="61" spans="1:9" ht="30" customHeight="1">
      <c r="A61" s="72" t="s">
        <v>211</v>
      </c>
      <c r="B61" s="69">
        <f t="shared" si="0"/>
        <v>31380</v>
      </c>
      <c r="C61" s="70"/>
      <c r="D61" s="70">
        <v>31380</v>
      </c>
      <c r="E61" s="70"/>
      <c r="F61" s="70"/>
      <c r="G61" s="70"/>
      <c r="H61" s="70"/>
      <c r="I61" s="70"/>
    </row>
    <row r="62" spans="1:9" ht="30" customHeight="1">
      <c r="A62" s="72" t="s">
        <v>213</v>
      </c>
      <c r="B62" s="69">
        <f t="shared" si="0"/>
        <v>224110</v>
      </c>
      <c r="C62" s="70"/>
      <c r="D62" s="70">
        <v>29110</v>
      </c>
      <c r="E62" s="70"/>
      <c r="F62" s="70"/>
      <c r="G62" s="70">
        <v>195000</v>
      </c>
      <c r="H62" s="70"/>
      <c r="I62" s="70"/>
    </row>
    <row r="63" spans="1:9" ht="30" customHeight="1">
      <c r="A63" s="72" t="s">
        <v>215</v>
      </c>
      <c r="B63" s="69">
        <f t="shared" si="0"/>
        <v>40827</v>
      </c>
      <c r="C63" s="70">
        <v>6797</v>
      </c>
      <c r="D63" s="70">
        <v>14030</v>
      </c>
      <c r="E63" s="70"/>
      <c r="F63" s="70"/>
      <c r="G63" s="70">
        <v>20000</v>
      </c>
      <c r="H63" s="70"/>
      <c r="I63" s="70"/>
    </row>
    <row r="64" spans="1:9" ht="30" customHeight="1">
      <c r="A64" s="72" t="s">
        <v>216</v>
      </c>
      <c r="B64" s="69">
        <f t="shared" si="0"/>
        <v>69017</v>
      </c>
      <c r="C64" s="70"/>
      <c r="D64" s="70">
        <v>42017</v>
      </c>
      <c r="E64" s="70"/>
      <c r="F64" s="70"/>
      <c r="G64" s="70">
        <v>27000</v>
      </c>
      <c r="H64" s="70"/>
      <c r="I64" s="70"/>
    </row>
    <row r="65" spans="1:9" ht="30" customHeight="1">
      <c r="A65" s="72" t="s">
        <v>71</v>
      </c>
      <c r="B65" s="69">
        <f t="shared" si="0"/>
        <v>38735</v>
      </c>
      <c r="C65" s="70"/>
      <c r="D65" s="70">
        <v>38735</v>
      </c>
      <c r="E65" s="70"/>
      <c r="F65" s="70"/>
      <c r="G65" s="70"/>
      <c r="H65" s="70"/>
      <c r="I65" s="70"/>
    </row>
    <row r="66" spans="1:9" ht="30" customHeight="1">
      <c r="A66" s="72" t="s">
        <v>72</v>
      </c>
      <c r="B66" s="69">
        <f t="shared" si="0"/>
        <v>20681</v>
      </c>
      <c r="C66" s="70"/>
      <c r="D66" s="70">
        <v>20681</v>
      </c>
      <c r="E66" s="70"/>
      <c r="F66" s="70"/>
      <c r="G66" s="70"/>
      <c r="H66" s="70"/>
      <c r="I66" s="70"/>
    </row>
    <row r="67" spans="1:9" ht="30" customHeight="1">
      <c r="A67" s="72" t="s">
        <v>219</v>
      </c>
      <c r="B67" s="69">
        <f t="shared" si="0"/>
        <v>28543</v>
      </c>
      <c r="C67" s="70">
        <v>7014</v>
      </c>
      <c r="D67" s="70">
        <v>21529</v>
      </c>
      <c r="E67" s="70"/>
      <c r="F67" s="70"/>
      <c r="G67" s="70"/>
      <c r="H67" s="70"/>
      <c r="I67" s="70"/>
    </row>
    <row r="68" spans="1:9" ht="30" customHeight="1">
      <c r="A68" s="72" t="s">
        <v>73</v>
      </c>
      <c r="B68" s="69">
        <f t="shared" si="0"/>
        <v>25715</v>
      </c>
      <c r="C68" s="70"/>
      <c r="D68" s="70">
        <v>25715</v>
      </c>
      <c r="E68" s="70"/>
      <c r="F68" s="70"/>
      <c r="G68" s="70"/>
      <c r="H68" s="70"/>
      <c r="I68" s="70"/>
    </row>
    <row r="69" spans="1:9" ht="30" customHeight="1">
      <c r="A69" s="72" t="s">
        <v>217</v>
      </c>
      <c r="B69" s="69">
        <f t="shared" si="0"/>
        <v>8898</v>
      </c>
      <c r="C69" s="70"/>
      <c r="D69" s="70">
        <v>8898</v>
      </c>
      <c r="E69" s="70"/>
      <c r="F69" s="70"/>
      <c r="G69" s="70"/>
      <c r="H69" s="70"/>
      <c r="I69" s="70"/>
    </row>
    <row r="70" spans="1:9" ht="30" customHeight="1">
      <c r="A70" s="72" t="s">
        <v>218</v>
      </c>
      <c r="B70" s="69">
        <f t="shared" si="0"/>
        <v>38471</v>
      </c>
      <c r="C70" s="70"/>
      <c r="D70" s="70">
        <v>38471</v>
      </c>
      <c r="E70" s="70"/>
      <c r="F70" s="70"/>
      <c r="G70" s="70"/>
      <c r="H70" s="70"/>
      <c r="I70" s="70"/>
    </row>
    <row r="71" spans="1:9" ht="30" customHeight="1">
      <c r="A71" s="72" t="s">
        <v>624</v>
      </c>
      <c r="B71" s="69">
        <f t="shared" si="0"/>
        <v>172339</v>
      </c>
      <c r="C71" s="70"/>
      <c r="D71" s="70">
        <v>172339</v>
      </c>
      <c r="E71" s="70"/>
      <c r="F71" s="70"/>
      <c r="G71" s="70"/>
      <c r="H71" s="70"/>
      <c r="I71" s="70"/>
    </row>
    <row r="72" spans="1:9" ht="15" customHeight="1">
      <c r="A72" s="68" t="s">
        <v>129</v>
      </c>
      <c r="B72" s="69">
        <f t="shared" si="0"/>
        <v>176606</v>
      </c>
      <c r="C72" s="70">
        <v>2225</v>
      </c>
      <c r="D72" s="70"/>
      <c r="E72" s="70"/>
      <c r="F72" s="70"/>
      <c r="G72" s="70"/>
      <c r="H72" s="70">
        <v>171000</v>
      </c>
      <c r="I72" s="70">
        <v>3381</v>
      </c>
    </row>
    <row r="73" spans="1:9" ht="15" customHeight="1">
      <c r="A73" s="68" t="s">
        <v>130</v>
      </c>
      <c r="B73" s="69">
        <f t="shared" si="0"/>
        <v>21860</v>
      </c>
      <c r="C73" s="70">
        <v>16336</v>
      </c>
      <c r="D73" s="70">
        <v>5524</v>
      </c>
      <c r="E73" s="70"/>
      <c r="F73" s="70"/>
      <c r="G73" s="70"/>
      <c r="H73" s="70"/>
      <c r="I73" s="70"/>
    </row>
    <row r="74" spans="1:9" ht="30" customHeight="1">
      <c r="A74" s="71" t="s">
        <v>80</v>
      </c>
      <c r="B74" s="69">
        <f t="shared" si="0"/>
        <v>3057</v>
      </c>
      <c r="C74" s="70"/>
      <c r="D74" s="70"/>
      <c r="E74" s="70"/>
      <c r="F74" s="70"/>
      <c r="G74" s="70">
        <v>3057</v>
      </c>
      <c r="H74" s="70"/>
      <c r="I74" s="70"/>
    </row>
    <row r="75" spans="1:9" ht="45" customHeight="1">
      <c r="A75" s="72" t="s">
        <v>626</v>
      </c>
      <c r="B75" s="69">
        <f t="shared" si="0"/>
        <v>21910</v>
      </c>
      <c r="C75" s="70"/>
      <c r="D75" s="70">
        <v>21910</v>
      </c>
      <c r="E75" s="70"/>
      <c r="F75" s="70"/>
      <c r="G75" s="70"/>
      <c r="H75" s="70"/>
      <c r="I75" s="70"/>
    </row>
    <row r="76" spans="1:9" ht="45" customHeight="1">
      <c r="A76" s="73" t="s">
        <v>246</v>
      </c>
      <c r="B76" s="69">
        <f t="shared" si="0"/>
        <v>134310</v>
      </c>
      <c r="C76" s="70"/>
      <c r="D76" s="70"/>
      <c r="E76" s="70"/>
      <c r="F76" s="70"/>
      <c r="G76" s="70">
        <v>134310</v>
      </c>
      <c r="H76" s="70"/>
      <c r="I76" s="70"/>
    </row>
    <row r="77" spans="1:9" ht="45" customHeight="1">
      <c r="A77" s="71" t="s">
        <v>74</v>
      </c>
      <c r="B77" s="69">
        <f t="shared" si="1" ref="B77:B140">=SUM(C77:I77)</f>
        <v>85012</v>
      </c>
      <c r="C77" s="70"/>
      <c r="D77" s="70">
        <v>85012</v>
      </c>
      <c r="E77" s="70"/>
      <c r="F77" s="70"/>
      <c r="G77" s="70"/>
      <c r="H77" s="70"/>
      <c r="I77" s="70"/>
    </row>
    <row r="78" spans="1:9" ht="30" customHeight="1">
      <c r="A78" s="68" t="s">
        <v>330</v>
      </c>
      <c r="B78" s="69">
        <f t="shared" si="1"/>
        <v>10600</v>
      </c>
      <c r="C78" s="70"/>
      <c r="D78" s="70">
        <v>10600</v>
      </c>
      <c r="E78" s="70"/>
      <c r="F78" s="70"/>
      <c r="G78" s="70"/>
      <c r="H78" s="70"/>
      <c r="I78" s="70"/>
    </row>
    <row r="79" spans="1:9" ht="30" customHeight="1">
      <c r="A79" s="73" t="s">
        <v>623</v>
      </c>
      <c r="B79" s="69">
        <f t="shared" si="1"/>
        <v>6625</v>
      </c>
      <c r="C79" s="70"/>
      <c r="D79" s="70">
        <v>6625</v>
      </c>
      <c r="E79" s="70"/>
      <c r="F79" s="70"/>
      <c r="G79" s="70"/>
      <c r="H79" s="70"/>
      <c r="I79" s="70"/>
    </row>
    <row r="80" spans="1:9" ht="30" customHeight="1">
      <c r="A80" s="73" t="s">
        <v>249</v>
      </c>
      <c r="B80" s="69">
        <f t="shared" si="1"/>
        <v>5359</v>
      </c>
      <c r="C80" s="70"/>
      <c r="D80" s="70">
        <v>5359</v>
      </c>
      <c r="E80" s="70"/>
      <c r="F80" s="70"/>
      <c r="G80" s="70"/>
      <c r="H80" s="70"/>
      <c r="I80" s="70"/>
    </row>
    <row r="81" spans="1:9" ht="30" customHeight="1">
      <c r="A81" s="73" t="s">
        <v>619</v>
      </c>
      <c r="B81" s="69">
        <f t="shared" si="1"/>
        <v>5539</v>
      </c>
      <c r="C81" s="70"/>
      <c r="D81" s="70">
        <v>5539</v>
      </c>
      <c r="E81" s="70"/>
      <c r="F81" s="70"/>
      <c r="G81" s="70"/>
      <c r="H81" s="70"/>
      <c r="I81" s="70"/>
    </row>
    <row r="82" spans="1:9" ht="30" customHeight="1">
      <c r="A82" s="73" t="s">
        <v>235</v>
      </c>
      <c r="B82" s="69">
        <f t="shared" si="1"/>
        <v>4042</v>
      </c>
      <c r="C82" s="70"/>
      <c r="D82" s="70">
        <v>4042</v>
      </c>
      <c r="E82" s="70"/>
      <c r="F82" s="70"/>
      <c r="G82" s="70"/>
      <c r="H82" s="70"/>
      <c r="I82" s="70"/>
    </row>
    <row r="83" spans="1:9" ht="30" customHeight="1">
      <c r="A83" s="73" t="s">
        <v>238</v>
      </c>
      <c r="B83" s="69">
        <f t="shared" si="1"/>
        <v>6752</v>
      </c>
      <c r="C83" s="70"/>
      <c r="D83" s="70">
        <v>6752</v>
      </c>
      <c r="E83" s="70"/>
      <c r="F83" s="70"/>
      <c r="G83" s="70"/>
      <c r="H83" s="70"/>
      <c r="I83" s="70"/>
    </row>
    <row r="84" spans="1:9" ht="30" customHeight="1">
      <c r="A84" s="73" t="s">
        <v>135</v>
      </c>
      <c r="B84" s="69">
        <f t="shared" si="1"/>
        <v>4700</v>
      </c>
      <c r="C84" s="70"/>
      <c r="D84" s="70">
        <v>4700</v>
      </c>
      <c r="E84" s="70"/>
      <c r="F84" s="70"/>
      <c r="G84" s="70"/>
      <c r="H84" s="70"/>
      <c r="I84" s="70"/>
    </row>
    <row r="85" spans="1:9" ht="30" customHeight="1">
      <c r="A85" s="72" t="s">
        <v>331</v>
      </c>
      <c r="B85" s="69">
        <f t="shared" si="1"/>
        <v>9944</v>
      </c>
      <c r="C85" s="70"/>
      <c r="D85" s="70">
        <v>9944</v>
      </c>
      <c r="E85" s="70"/>
      <c r="F85" s="70"/>
      <c r="G85" s="70"/>
      <c r="H85" s="70"/>
      <c r="I85" s="70"/>
    </row>
    <row r="86" spans="1:9" ht="30" customHeight="1">
      <c r="A86" s="72" t="s">
        <v>618</v>
      </c>
      <c r="B86" s="69">
        <f t="shared" si="1"/>
        <v>550</v>
      </c>
      <c r="C86" s="70"/>
      <c r="D86" s="70">
        <v>550</v>
      </c>
      <c r="E86" s="70"/>
      <c r="F86" s="70"/>
      <c r="G86" s="70"/>
      <c r="H86" s="70"/>
      <c r="I86" s="70"/>
    </row>
    <row r="87" spans="1:9" ht="30" customHeight="1">
      <c r="A87" s="73" t="s">
        <v>132</v>
      </c>
      <c r="B87" s="69">
        <f t="shared" si="1"/>
        <v>10106</v>
      </c>
      <c r="C87" s="70"/>
      <c r="D87" s="70">
        <v>10106</v>
      </c>
      <c r="E87" s="70"/>
      <c r="F87" s="70"/>
      <c r="G87" s="70"/>
      <c r="H87" s="70"/>
      <c r="I87" s="70"/>
    </row>
    <row r="88" spans="1:9" ht="30" customHeight="1">
      <c r="A88" s="73" t="s">
        <v>134</v>
      </c>
      <c r="B88" s="69">
        <f t="shared" si="1"/>
        <v>1513</v>
      </c>
      <c r="C88" s="70"/>
      <c r="D88" s="70">
        <v>1513</v>
      </c>
      <c r="E88" s="70"/>
      <c r="F88" s="70"/>
      <c r="G88" s="70"/>
      <c r="H88" s="70"/>
      <c r="I88" s="70"/>
    </row>
    <row r="89" spans="1:9" ht="30" customHeight="1">
      <c r="A89" s="72" t="s">
        <v>329</v>
      </c>
      <c r="B89" s="69">
        <f t="shared" si="1"/>
        <v>9464</v>
      </c>
      <c r="C89" s="70"/>
      <c r="D89" s="70">
        <v>9464</v>
      </c>
      <c r="E89" s="70"/>
      <c r="F89" s="70"/>
      <c r="G89" s="70"/>
      <c r="H89" s="70"/>
      <c r="I89" s="70"/>
    </row>
    <row r="90" spans="1:9" ht="30" customHeight="1">
      <c r="A90" s="73" t="s">
        <v>251</v>
      </c>
      <c r="B90" s="69">
        <f t="shared" si="1"/>
        <v>10230</v>
      </c>
      <c r="C90" s="70"/>
      <c r="D90" s="70">
        <v>10230</v>
      </c>
      <c r="E90" s="70"/>
      <c r="F90" s="70"/>
      <c r="G90" s="70"/>
      <c r="H90" s="70"/>
      <c r="I90" s="70"/>
    </row>
    <row r="91" spans="1:9" ht="30" customHeight="1">
      <c r="A91" s="73" t="s">
        <v>133</v>
      </c>
      <c r="B91" s="69">
        <f t="shared" si="1"/>
        <v>730</v>
      </c>
      <c r="C91" s="70"/>
      <c r="D91" s="70">
        <v>730</v>
      </c>
      <c r="E91" s="70"/>
      <c r="F91" s="70"/>
      <c r="G91" s="70"/>
      <c r="H91" s="70"/>
      <c r="I91" s="70"/>
    </row>
    <row r="92" spans="1:9" ht="30" customHeight="1">
      <c r="A92" s="73" t="s">
        <v>136</v>
      </c>
      <c r="B92" s="69">
        <f t="shared" si="1"/>
        <v>3508</v>
      </c>
      <c r="C92" s="70"/>
      <c r="D92" s="70">
        <v>3508</v>
      </c>
      <c r="E92" s="70"/>
      <c r="F92" s="70"/>
      <c r="G92" s="70"/>
      <c r="H92" s="70"/>
      <c r="I92" s="70"/>
    </row>
    <row r="93" spans="1:9" ht="45" customHeight="1">
      <c r="A93" s="73" t="s">
        <v>660</v>
      </c>
      <c r="B93" s="69">
        <f t="shared" si="1"/>
        <v>18269</v>
      </c>
      <c r="C93" s="70"/>
      <c r="D93" s="70">
        <v>18269</v>
      </c>
      <c r="E93" s="70"/>
      <c r="F93" s="70"/>
      <c r="G93" s="70"/>
      <c r="H93" s="70"/>
      <c r="I93" s="70"/>
    </row>
    <row r="94" spans="1:9" ht="30" customHeight="1">
      <c r="A94" s="73" t="s">
        <v>620</v>
      </c>
      <c r="B94" s="69">
        <f t="shared" si="1"/>
        <v>6870</v>
      </c>
      <c r="C94" s="70"/>
      <c r="D94" s="70">
        <v>6870</v>
      </c>
      <c r="E94" s="70"/>
      <c r="F94" s="70"/>
      <c r="G94" s="70"/>
      <c r="H94" s="70"/>
      <c r="I94" s="70"/>
    </row>
    <row r="95" spans="1:9" ht="30" customHeight="1">
      <c r="A95" s="73" t="s">
        <v>137</v>
      </c>
      <c r="B95" s="69">
        <f t="shared" si="1"/>
        <v>7985</v>
      </c>
      <c r="C95" s="70"/>
      <c r="D95" s="70">
        <v>7985</v>
      </c>
      <c r="E95" s="70"/>
      <c r="F95" s="70"/>
      <c r="G95" s="70"/>
      <c r="H95" s="70"/>
      <c r="I95" s="70"/>
    </row>
    <row r="96" spans="1:9" ht="45" customHeight="1">
      <c r="A96" s="73" t="s">
        <v>131</v>
      </c>
      <c r="B96" s="69">
        <f t="shared" si="1"/>
        <v>3510</v>
      </c>
      <c r="C96" s="70"/>
      <c r="D96" s="70">
        <v>3510</v>
      </c>
      <c r="E96" s="70"/>
      <c r="F96" s="70"/>
      <c r="G96" s="70"/>
      <c r="H96" s="70"/>
      <c r="I96" s="70"/>
    </row>
    <row r="97" spans="1:9" ht="15" customHeight="1">
      <c r="A97" s="71" t="s">
        <v>19</v>
      </c>
      <c r="B97" s="69">
        <f t="shared" si="1"/>
        <v>138101</v>
      </c>
      <c r="C97" s="70"/>
      <c r="D97" s="70">
        <v>119842</v>
      </c>
      <c r="E97" s="70"/>
      <c r="F97" s="70"/>
      <c r="G97" s="70">
        <v>18259</v>
      </c>
      <c r="H97" s="70"/>
      <c r="I97" s="70"/>
    </row>
    <row r="98" spans="1:9" ht="30" customHeight="1">
      <c r="A98" s="74" t="s">
        <v>177</v>
      </c>
      <c r="B98" s="69">
        <f t="shared" si="1"/>
        <v>5541</v>
      </c>
      <c r="C98" s="75"/>
      <c r="D98" s="70">
        <v>5541</v>
      </c>
      <c r="E98" s="70"/>
      <c r="F98" s="70"/>
      <c r="G98" s="75"/>
      <c r="H98" s="70"/>
      <c r="I98" s="70"/>
    </row>
    <row r="99" spans="1:9" ht="30" customHeight="1">
      <c r="A99" s="74" t="s">
        <v>176</v>
      </c>
      <c r="B99" s="69">
        <f t="shared" si="1"/>
        <v>3089</v>
      </c>
      <c r="C99" s="76"/>
      <c r="D99" s="70">
        <v>3089</v>
      </c>
      <c r="E99" s="70"/>
      <c r="F99" s="70"/>
      <c r="G99" s="76"/>
      <c r="H99" s="70"/>
      <c r="I99" s="70"/>
    </row>
    <row r="100" spans="1:9" ht="15" customHeight="1">
      <c r="A100" s="71" t="s">
        <v>183</v>
      </c>
      <c r="B100" s="69">
        <f t="shared" si="1"/>
        <v>95426</v>
      </c>
      <c r="C100" s="70"/>
      <c r="D100" s="70">
        <v>95426</v>
      </c>
      <c r="E100" s="70"/>
      <c r="F100" s="70"/>
      <c r="G100" s="70"/>
      <c r="H100" s="70"/>
      <c r="I100" s="70"/>
    </row>
    <row r="101" spans="1:9" ht="15" customHeight="1">
      <c r="A101" s="71" t="s">
        <v>186</v>
      </c>
      <c r="B101" s="69">
        <f t="shared" si="1"/>
        <v>148887</v>
      </c>
      <c r="C101" s="70"/>
      <c r="D101" s="70">
        <v>103703</v>
      </c>
      <c r="E101" s="70"/>
      <c r="F101" s="70"/>
      <c r="G101" s="70">
        <v>6934</v>
      </c>
      <c r="H101" s="70">
        <v>38250</v>
      </c>
      <c r="I101" s="70"/>
    </row>
    <row r="102" spans="1:9" ht="30" customHeight="1">
      <c r="A102" s="71" t="s">
        <v>20</v>
      </c>
      <c r="B102" s="69">
        <f t="shared" si="1"/>
        <v>30049</v>
      </c>
      <c r="C102" s="70">
        <v>24958</v>
      </c>
      <c r="D102" s="70">
        <v>5091</v>
      </c>
      <c r="E102" s="70"/>
      <c r="F102" s="70"/>
      <c r="G102" s="70"/>
      <c r="H102" s="70"/>
      <c r="I102" s="70"/>
    </row>
    <row r="103" spans="1:9" ht="30" customHeight="1">
      <c r="A103" s="71" t="s">
        <v>284</v>
      </c>
      <c r="B103" s="69">
        <f t="shared" si="1"/>
        <v>64424</v>
      </c>
      <c r="C103" s="70">
        <v>40502</v>
      </c>
      <c r="D103" s="70">
        <v>23922</v>
      </c>
      <c r="E103" s="70"/>
      <c r="F103" s="70"/>
      <c r="G103" s="70"/>
      <c r="H103" s="70"/>
      <c r="I103" s="70"/>
    </row>
    <row r="104" spans="1:9" ht="30" customHeight="1">
      <c r="A104" s="71" t="s">
        <v>21</v>
      </c>
      <c r="B104" s="69">
        <f t="shared" si="1"/>
        <v>34205</v>
      </c>
      <c r="C104" s="70">
        <v>29649</v>
      </c>
      <c r="D104" s="70">
        <v>4556</v>
      </c>
      <c r="E104" s="70"/>
      <c r="F104" s="70"/>
      <c r="G104" s="70"/>
      <c r="H104" s="70"/>
      <c r="I104" s="70"/>
    </row>
    <row r="105" spans="1:9" ht="30" customHeight="1">
      <c r="A105" s="71" t="s">
        <v>22</v>
      </c>
      <c r="B105" s="69">
        <f t="shared" si="1"/>
        <v>41764</v>
      </c>
      <c r="C105" s="70">
        <v>32370</v>
      </c>
      <c r="D105" s="70">
        <v>9394</v>
      </c>
      <c r="E105" s="70"/>
      <c r="F105" s="70"/>
      <c r="G105" s="70"/>
      <c r="H105" s="70"/>
      <c r="I105" s="70"/>
    </row>
    <row r="106" spans="1:9" ht="30" customHeight="1">
      <c r="A106" s="71" t="s">
        <v>23</v>
      </c>
      <c r="B106" s="69">
        <f t="shared" si="1"/>
        <v>21120</v>
      </c>
      <c r="C106" s="70">
        <v>12851</v>
      </c>
      <c r="D106" s="70">
        <v>8269</v>
      </c>
      <c r="E106" s="70"/>
      <c r="F106" s="70"/>
      <c r="G106" s="70"/>
      <c r="H106" s="70"/>
      <c r="I106" s="70"/>
    </row>
    <row r="107" spans="1:9" ht="30" customHeight="1">
      <c r="A107" s="71" t="s">
        <v>24</v>
      </c>
      <c r="B107" s="69">
        <f t="shared" si="1"/>
        <v>65563</v>
      </c>
      <c r="C107" s="70">
        <v>53633</v>
      </c>
      <c r="D107" s="70">
        <v>11930</v>
      </c>
      <c r="E107" s="70"/>
      <c r="F107" s="70"/>
      <c r="G107" s="70"/>
      <c r="H107" s="70"/>
      <c r="I107" s="70"/>
    </row>
    <row r="108" spans="1:9" ht="30" customHeight="1">
      <c r="A108" s="73" t="s">
        <v>332</v>
      </c>
      <c r="B108" s="69">
        <f t="shared" si="1"/>
        <v>78154</v>
      </c>
      <c r="C108" s="70">
        <v>26654</v>
      </c>
      <c r="D108" s="70">
        <v>51500</v>
      </c>
      <c r="E108" s="70"/>
      <c r="F108" s="70"/>
      <c r="G108" s="70"/>
      <c r="H108" s="70"/>
      <c r="I108" s="70"/>
    </row>
    <row r="109" spans="1:9" ht="30" customHeight="1">
      <c r="A109" s="74" t="s">
        <v>139</v>
      </c>
      <c r="B109" s="69">
        <f t="shared" si="1"/>
        <v>88380</v>
      </c>
      <c r="C109" s="77">
        <v>65249</v>
      </c>
      <c r="D109" s="70">
        <v>23131</v>
      </c>
      <c r="E109" s="70"/>
      <c r="F109" s="70"/>
      <c r="G109" s="77"/>
      <c r="H109" s="70"/>
      <c r="I109" s="70"/>
    </row>
    <row r="110" spans="1:9" ht="30" customHeight="1">
      <c r="A110" s="71" t="s">
        <v>25</v>
      </c>
      <c r="B110" s="69">
        <f t="shared" si="1"/>
        <v>52144</v>
      </c>
      <c r="C110" s="70">
        <v>37346</v>
      </c>
      <c r="D110" s="70">
        <v>14798</v>
      </c>
      <c r="E110" s="70"/>
      <c r="F110" s="70"/>
      <c r="G110" s="70"/>
      <c r="H110" s="70"/>
      <c r="I110" s="70"/>
    </row>
    <row r="111" spans="1:9" ht="30" customHeight="1">
      <c r="A111" s="73" t="s">
        <v>333</v>
      </c>
      <c r="B111" s="69">
        <f t="shared" si="1"/>
        <v>8857</v>
      </c>
      <c r="C111" s="70">
        <v>5673</v>
      </c>
      <c r="D111" s="70">
        <v>3184</v>
      </c>
      <c r="E111" s="70"/>
      <c r="F111" s="70"/>
      <c r="G111" s="70"/>
      <c r="H111" s="70"/>
      <c r="I111" s="70"/>
    </row>
    <row r="112" spans="1:9" ht="30" customHeight="1">
      <c r="A112" s="74" t="s">
        <v>140</v>
      </c>
      <c r="B112" s="69">
        <f t="shared" si="1"/>
        <v>200551</v>
      </c>
      <c r="C112" s="77">
        <v>163629</v>
      </c>
      <c r="D112" s="70">
        <v>36922</v>
      </c>
      <c r="E112" s="70"/>
      <c r="F112" s="70"/>
      <c r="G112" s="77"/>
      <c r="H112" s="70"/>
      <c r="I112" s="70"/>
    </row>
    <row r="113" spans="1:9" ht="30" customHeight="1">
      <c r="A113" s="73" t="s">
        <v>334</v>
      </c>
      <c r="B113" s="69">
        <f t="shared" si="1"/>
        <v>7017</v>
      </c>
      <c r="C113" s="70">
        <v>4373</v>
      </c>
      <c r="D113" s="70">
        <v>2644</v>
      </c>
      <c r="E113" s="70"/>
      <c r="F113" s="70"/>
      <c r="G113" s="70"/>
      <c r="H113" s="70"/>
      <c r="I113" s="70"/>
    </row>
    <row r="114" spans="1:9" ht="30" customHeight="1">
      <c r="A114" s="71" t="s">
        <v>26</v>
      </c>
      <c r="B114" s="69">
        <f t="shared" si="1"/>
        <v>90813</v>
      </c>
      <c r="C114" s="70">
        <v>52637</v>
      </c>
      <c r="D114" s="70">
        <v>37074</v>
      </c>
      <c r="E114" s="70"/>
      <c r="F114" s="70"/>
      <c r="G114" s="70">
        <v>1102</v>
      </c>
      <c r="H114" s="70"/>
      <c r="I114" s="70"/>
    </row>
    <row r="115" spans="1:9" ht="30" customHeight="1">
      <c r="A115" s="71" t="s">
        <v>27</v>
      </c>
      <c r="B115" s="69">
        <f t="shared" si="1"/>
        <v>45796</v>
      </c>
      <c r="C115" s="70">
        <v>35954</v>
      </c>
      <c r="D115" s="70">
        <v>9842</v>
      </c>
      <c r="E115" s="70"/>
      <c r="F115" s="70"/>
      <c r="G115" s="70"/>
      <c r="H115" s="70"/>
      <c r="I115" s="70"/>
    </row>
    <row r="116" spans="1:9" ht="30" customHeight="1">
      <c r="A116" s="73" t="s">
        <v>191</v>
      </c>
      <c r="B116" s="69">
        <f t="shared" si="1"/>
        <v>4478</v>
      </c>
      <c r="C116" s="70"/>
      <c r="D116" s="70">
        <v>4478</v>
      </c>
      <c r="E116" s="70"/>
      <c r="F116" s="70"/>
      <c r="G116" s="70"/>
      <c r="H116" s="70"/>
      <c r="I116" s="70"/>
    </row>
    <row r="117" spans="1:9" ht="30" customHeight="1">
      <c r="A117" s="71" t="s">
        <v>28</v>
      </c>
      <c r="B117" s="69">
        <f t="shared" si="1"/>
        <v>91488</v>
      </c>
      <c r="C117" s="70">
        <v>77681</v>
      </c>
      <c r="D117" s="70">
        <v>8074</v>
      </c>
      <c r="E117" s="70"/>
      <c r="F117" s="70"/>
      <c r="G117" s="70">
        <v>5733</v>
      </c>
      <c r="H117" s="70"/>
      <c r="I117" s="70"/>
    </row>
    <row r="118" spans="1:9" ht="15" customHeight="1">
      <c r="A118" s="71" t="s">
        <v>29</v>
      </c>
      <c r="B118" s="69">
        <f t="shared" si="1"/>
        <v>1790187</v>
      </c>
      <c r="C118" s="70">
        <f>709140+C119</f>
        <v>914577</v>
      </c>
      <c r="D118" s="70">
        <f>734954+D119</f>
        <v>864760</v>
      </c>
      <c r="E118" s="70">
        <f t="shared" si="2" ref="E118:I118">=E119</f>
        <v>0</v>
      </c>
      <c r="F118" s="70">
        <f t="shared" si="2"/>
        <v>0</v>
      </c>
      <c r="G118" s="70">
        <f>8250+2600+G119</f>
        <v>10850</v>
      </c>
      <c r="H118" s="70">
        <f t="shared" si="2"/>
        <v>0</v>
      </c>
      <c r="I118" s="70">
        <f t="shared" si="2"/>
        <v>0</v>
      </c>
    </row>
    <row r="119" spans="1:9" ht="15" customHeight="1">
      <c r="A119" s="71" t="s">
        <v>234</v>
      </c>
      <c r="B119" s="69">
        <f t="shared" si="1"/>
        <v>335243</v>
      </c>
      <c r="C119" s="70">
        <v>205437</v>
      </c>
      <c r="D119" s="70">
        <f>129806</f>
        <v>129806</v>
      </c>
      <c r="E119" s="70"/>
      <c r="F119" s="70"/>
      <c r="G119" s="70"/>
      <c r="H119" s="70"/>
      <c r="I119" s="70"/>
    </row>
    <row r="120" spans="1:9" ht="30" customHeight="1">
      <c r="A120" s="73" t="s">
        <v>174</v>
      </c>
      <c r="B120" s="69">
        <f t="shared" si="1"/>
        <v>33391</v>
      </c>
      <c r="C120" s="70"/>
      <c r="D120" s="70">
        <v>33391</v>
      </c>
      <c r="E120" s="70"/>
      <c r="F120" s="70"/>
      <c r="G120" s="70"/>
      <c r="H120" s="70"/>
      <c r="I120" s="70"/>
    </row>
    <row r="121" spans="1:9" ht="30" customHeight="1">
      <c r="A121" s="73" t="s">
        <v>116</v>
      </c>
      <c r="B121" s="69">
        <f t="shared" si="1"/>
        <v>7500</v>
      </c>
      <c r="C121" s="70"/>
      <c r="D121" s="70">
        <v>7500</v>
      </c>
      <c r="E121" s="70"/>
      <c r="F121" s="70"/>
      <c r="G121" s="70"/>
      <c r="H121" s="70"/>
      <c r="I121" s="70"/>
    </row>
    <row r="122" spans="1:9" ht="30" customHeight="1">
      <c r="A122" s="73" t="s">
        <v>120</v>
      </c>
      <c r="B122" s="69">
        <f t="shared" si="1"/>
        <v>1000</v>
      </c>
      <c r="C122" s="70"/>
      <c r="D122" s="70">
        <v>1000</v>
      </c>
      <c r="E122" s="70"/>
      <c r="F122" s="70"/>
      <c r="G122" s="70"/>
      <c r="H122" s="70"/>
      <c r="I122" s="70"/>
    </row>
    <row r="123" spans="1:9" ht="30" customHeight="1">
      <c r="A123" s="73" t="s">
        <v>117</v>
      </c>
      <c r="B123" s="69">
        <f t="shared" si="1"/>
        <v>9827</v>
      </c>
      <c r="C123" s="70"/>
      <c r="D123" s="70">
        <v>9827</v>
      </c>
      <c r="E123" s="70"/>
      <c r="F123" s="70"/>
      <c r="G123" s="70"/>
      <c r="H123" s="70"/>
      <c r="I123" s="70"/>
    </row>
    <row r="124" spans="1:9" ht="30" customHeight="1">
      <c r="A124" s="73" t="s">
        <v>118</v>
      </c>
      <c r="B124" s="69">
        <f t="shared" si="1"/>
        <v>3200</v>
      </c>
      <c r="C124" s="70"/>
      <c r="D124" s="70">
        <v>3200</v>
      </c>
      <c r="E124" s="70"/>
      <c r="F124" s="70"/>
      <c r="G124" s="70"/>
      <c r="H124" s="70"/>
      <c r="I124" s="70"/>
    </row>
    <row r="125" spans="1:9" ht="30" customHeight="1">
      <c r="A125" s="71" t="s">
        <v>627</v>
      </c>
      <c r="B125" s="69">
        <f t="shared" si="1"/>
        <v>129108</v>
      </c>
      <c r="C125" s="70">
        <v>92505</v>
      </c>
      <c r="D125" s="70">
        <v>36603</v>
      </c>
      <c r="E125" s="70"/>
      <c r="F125" s="70"/>
      <c r="G125" s="70"/>
      <c r="H125" s="70"/>
      <c r="I125" s="70"/>
    </row>
    <row r="126" spans="1:9" ht="30" customHeight="1">
      <c r="A126" s="73" t="s">
        <v>102</v>
      </c>
      <c r="B126" s="69">
        <f t="shared" si="1"/>
        <v>17596</v>
      </c>
      <c r="C126" s="70">
        <v>15637</v>
      </c>
      <c r="D126" s="70">
        <v>1959</v>
      </c>
      <c r="E126" s="70"/>
      <c r="F126" s="70"/>
      <c r="G126" s="70"/>
      <c r="H126" s="70"/>
      <c r="I126" s="70"/>
    </row>
    <row r="127" spans="1:9" ht="30" customHeight="1">
      <c r="A127" s="73" t="s">
        <v>98</v>
      </c>
      <c r="B127" s="69">
        <f t="shared" si="1"/>
        <v>16233</v>
      </c>
      <c r="C127" s="70">
        <v>13077</v>
      </c>
      <c r="D127" s="70">
        <v>3156</v>
      </c>
      <c r="E127" s="70"/>
      <c r="F127" s="70"/>
      <c r="G127" s="70"/>
      <c r="H127" s="70"/>
      <c r="I127" s="70"/>
    </row>
    <row r="128" spans="1:9" ht="30" customHeight="1">
      <c r="A128" s="73" t="s">
        <v>104</v>
      </c>
      <c r="B128" s="69">
        <f t="shared" si="1"/>
        <v>25617</v>
      </c>
      <c r="C128" s="70">
        <v>14711</v>
      </c>
      <c r="D128" s="70">
        <v>4608</v>
      </c>
      <c r="E128" s="70"/>
      <c r="F128" s="70"/>
      <c r="G128" s="70">
        <v>6298</v>
      </c>
      <c r="H128" s="70"/>
      <c r="I128" s="70"/>
    </row>
    <row r="129" spans="1:9" ht="30" customHeight="1">
      <c r="A129" s="73" t="s">
        <v>112</v>
      </c>
      <c r="B129" s="69">
        <f t="shared" si="1"/>
        <v>19871</v>
      </c>
      <c r="C129" s="70">
        <v>17297</v>
      </c>
      <c r="D129" s="70">
        <v>2574</v>
      </c>
      <c r="E129" s="70"/>
      <c r="F129" s="70"/>
      <c r="G129" s="70"/>
      <c r="H129" s="70"/>
      <c r="I129" s="70"/>
    </row>
    <row r="130" spans="1:9" ht="30" customHeight="1">
      <c r="A130" s="73" t="s">
        <v>114</v>
      </c>
      <c r="B130" s="69">
        <f t="shared" si="1"/>
        <v>24403</v>
      </c>
      <c r="C130" s="70">
        <v>19021</v>
      </c>
      <c r="D130" s="70">
        <v>5382</v>
      </c>
      <c r="E130" s="70"/>
      <c r="F130" s="70"/>
      <c r="G130" s="70"/>
      <c r="H130" s="70"/>
      <c r="I130" s="70"/>
    </row>
    <row r="131" spans="1:9" ht="15" customHeight="1">
      <c r="A131" s="73" t="s">
        <v>119</v>
      </c>
      <c r="B131" s="69">
        <f t="shared" si="1"/>
        <v>207984</v>
      </c>
      <c r="C131" s="70">
        <v>173027</v>
      </c>
      <c r="D131" s="70">
        <v>34957</v>
      </c>
      <c r="E131" s="70"/>
      <c r="F131" s="70"/>
      <c r="G131" s="70"/>
      <c r="H131" s="70"/>
      <c r="I131" s="70"/>
    </row>
    <row r="132" spans="1:9" ht="30" customHeight="1">
      <c r="A132" s="73" t="s">
        <v>237</v>
      </c>
      <c r="B132" s="69">
        <f t="shared" si="1"/>
        <v>50091</v>
      </c>
      <c r="C132" s="70">
        <v>34702</v>
      </c>
      <c r="D132" s="70">
        <v>15389</v>
      </c>
      <c r="E132" s="70"/>
      <c r="F132" s="70"/>
      <c r="G132" s="70"/>
      <c r="H132" s="70"/>
      <c r="I132" s="70"/>
    </row>
    <row r="133" spans="1:9" ht="30" customHeight="1">
      <c r="A133" s="73" t="s">
        <v>109</v>
      </c>
      <c r="B133" s="69">
        <f t="shared" si="1"/>
        <v>99443</v>
      </c>
      <c r="C133" s="70">
        <v>27463</v>
      </c>
      <c r="D133" s="70">
        <v>71980</v>
      </c>
      <c r="E133" s="70"/>
      <c r="F133" s="70"/>
      <c r="G133" s="70"/>
      <c r="H133" s="70"/>
      <c r="I133" s="70"/>
    </row>
    <row r="134" spans="1:9" ht="30" customHeight="1">
      <c r="A134" s="73" t="s">
        <v>106</v>
      </c>
      <c r="B134" s="69">
        <f t="shared" si="1"/>
        <v>39564</v>
      </c>
      <c r="C134" s="70">
        <v>28269</v>
      </c>
      <c r="D134" s="70">
        <v>11295</v>
      </c>
      <c r="E134" s="70"/>
      <c r="F134" s="70"/>
      <c r="G134" s="70"/>
      <c r="H134" s="70"/>
      <c r="I134" s="70"/>
    </row>
    <row r="135" spans="1:9" ht="30" customHeight="1">
      <c r="A135" s="73" t="s">
        <v>252</v>
      </c>
      <c r="B135" s="69">
        <f t="shared" si="1"/>
        <v>56232</v>
      </c>
      <c r="C135" s="70">
        <v>34462</v>
      </c>
      <c r="D135" s="70">
        <v>21770</v>
      </c>
      <c r="E135" s="70"/>
      <c r="F135" s="70"/>
      <c r="G135" s="70"/>
      <c r="H135" s="70"/>
      <c r="I135" s="70"/>
    </row>
    <row r="136" spans="1:9" ht="30" customHeight="1">
      <c r="A136" s="73" t="s">
        <v>111</v>
      </c>
      <c r="B136" s="69">
        <f t="shared" si="1"/>
        <v>26275</v>
      </c>
      <c r="C136" s="70">
        <v>19127</v>
      </c>
      <c r="D136" s="70">
        <v>7148</v>
      </c>
      <c r="E136" s="70"/>
      <c r="F136" s="70"/>
      <c r="G136" s="70"/>
      <c r="H136" s="70"/>
      <c r="I136" s="70"/>
    </row>
    <row r="137" spans="1:9" ht="30" customHeight="1">
      <c r="A137" s="73" t="s">
        <v>99</v>
      </c>
      <c r="B137" s="69">
        <f t="shared" si="1"/>
        <v>78995</v>
      </c>
      <c r="C137" s="70">
        <v>24989</v>
      </c>
      <c r="D137" s="70">
        <v>54006</v>
      </c>
      <c r="E137" s="70"/>
      <c r="F137" s="70"/>
      <c r="G137" s="70"/>
      <c r="H137" s="70"/>
      <c r="I137" s="70"/>
    </row>
    <row r="138" spans="1:9" ht="30" customHeight="1">
      <c r="A138" s="73" t="s">
        <v>101</v>
      </c>
      <c r="B138" s="69">
        <f t="shared" si="1"/>
        <v>97125</v>
      </c>
      <c r="C138" s="70">
        <v>27726</v>
      </c>
      <c r="D138" s="70">
        <v>69399</v>
      </c>
      <c r="E138" s="70"/>
      <c r="F138" s="70"/>
      <c r="G138" s="70"/>
      <c r="H138" s="70"/>
      <c r="I138" s="70"/>
    </row>
    <row r="139" spans="1:9" ht="15" customHeight="1">
      <c r="A139" s="68" t="s">
        <v>197</v>
      </c>
      <c r="B139" s="69">
        <f t="shared" si="1"/>
        <v>2843</v>
      </c>
      <c r="C139" s="70"/>
      <c r="D139" s="70">
        <v>2843</v>
      </c>
      <c r="E139" s="70"/>
      <c r="F139" s="70"/>
      <c r="G139" s="70"/>
      <c r="H139" s="70"/>
      <c r="I139" s="70"/>
    </row>
    <row r="140" spans="1:9" ht="15" customHeight="1">
      <c r="A140" s="68" t="s">
        <v>196</v>
      </c>
      <c r="B140" s="69">
        <f t="shared" si="1"/>
        <v>12584</v>
      </c>
      <c r="C140" s="70"/>
      <c r="D140" s="70">
        <v>12584</v>
      </c>
      <c r="E140" s="70"/>
      <c r="F140" s="70"/>
      <c r="G140" s="70"/>
      <c r="H140" s="70"/>
      <c r="I140" s="70"/>
    </row>
    <row r="141" spans="1:9" ht="30" customHeight="1">
      <c r="A141" s="73" t="s">
        <v>613</v>
      </c>
      <c r="B141" s="69">
        <f t="shared" si="3" ref="B141:B204">=SUM(C141:I141)</f>
        <v>2622</v>
      </c>
      <c r="C141" s="70"/>
      <c r="D141" s="70">
        <v>2622</v>
      </c>
      <c r="E141" s="70"/>
      <c r="F141" s="70"/>
      <c r="G141" s="70"/>
      <c r="H141" s="70"/>
      <c r="I141" s="70"/>
    </row>
    <row r="142" spans="1:9" ht="30" customHeight="1">
      <c r="A142" s="73" t="s">
        <v>250</v>
      </c>
      <c r="B142" s="69">
        <f t="shared" si="3"/>
        <v>4769</v>
      </c>
      <c r="C142" s="70"/>
      <c r="D142" s="70">
        <v>4769</v>
      </c>
      <c r="E142" s="70"/>
      <c r="F142" s="70"/>
      <c r="G142" s="70"/>
      <c r="H142" s="70"/>
      <c r="I142" s="70"/>
    </row>
    <row r="143" spans="1:9" ht="30" customHeight="1">
      <c r="A143" s="73" t="s">
        <v>614</v>
      </c>
      <c r="B143" s="69">
        <f t="shared" si="3"/>
        <v>6768</v>
      </c>
      <c r="C143" s="70">
        <v>2138</v>
      </c>
      <c r="D143" s="70">
        <v>4630</v>
      </c>
      <c r="E143" s="70"/>
      <c r="F143" s="70"/>
      <c r="G143" s="70"/>
      <c r="H143" s="70"/>
      <c r="I143" s="70"/>
    </row>
    <row r="144" spans="1:9" ht="30" customHeight="1">
      <c r="A144" s="73" t="s">
        <v>236</v>
      </c>
      <c r="B144" s="69">
        <f t="shared" si="3"/>
        <v>3791</v>
      </c>
      <c r="C144" s="70"/>
      <c r="D144" s="70">
        <v>3791</v>
      </c>
      <c r="E144" s="70"/>
      <c r="F144" s="70"/>
      <c r="G144" s="70"/>
      <c r="H144" s="70"/>
      <c r="I144" s="70"/>
    </row>
    <row r="145" spans="1:9" ht="30" customHeight="1">
      <c r="A145" s="73" t="s">
        <v>239</v>
      </c>
      <c r="B145" s="69">
        <f t="shared" si="3"/>
        <v>5348</v>
      </c>
      <c r="C145" s="70"/>
      <c r="D145" s="70">
        <v>5348</v>
      </c>
      <c r="E145" s="70"/>
      <c r="F145" s="70"/>
      <c r="G145" s="70"/>
      <c r="H145" s="70"/>
      <c r="I145" s="70"/>
    </row>
    <row r="146" spans="1:9" ht="30" customHeight="1">
      <c r="A146" s="73" t="s">
        <v>110</v>
      </c>
      <c r="B146" s="69">
        <f t="shared" si="3"/>
        <v>13746</v>
      </c>
      <c r="C146" s="70">
        <v>8746</v>
      </c>
      <c r="D146" s="70">
        <v>5000</v>
      </c>
      <c r="E146" s="70"/>
      <c r="F146" s="70"/>
      <c r="G146" s="70"/>
      <c r="H146" s="70"/>
      <c r="I146" s="70"/>
    </row>
    <row r="147" spans="1:9" ht="15" customHeight="1">
      <c r="A147" s="78" t="s">
        <v>141</v>
      </c>
      <c r="B147" s="69">
        <f t="shared" si="3"/>
        <v>9097</v>
      </c>
      <c r="C147" s="79"/>
      <c r="D147" s="70">
        <v>9097</v>
      </c>
      <c r="E147" s="70"/>
      <c r="F147" s="70"/>
      <c r="G147" s="79"/>
      <c r="H147" s="70"/>
      <c r="I147" s="70"/>
    </row>
    <row r="148" spans="1:9" ht="30" customHeight="1">
      <c r="A148" s="73" t="s">
        <v>615</v>
      </c>
      <c r="B148" s="69">
        <f t="shared" si="3"/>
        <v>2783</v>
      </c>
      <c r="C148" s="80"/>
      <c r="D148" s="70">
        <v>2783</v>
      </c>
      <c r="E148" s="70"/>
      <c r="F148" s="70"/>
      <c r="G148" s="80"/>
      <c r="H148" s="70"/>
      <c r="I148" s="70"/>
    </row>
    <row r="149" spans="1:9" ht="30" customHeight="1">
      <c r="A149" s="73" t="s">
        <v>103</v>
      </c>
      <c r="B149" s="69">
        <f t="shared" si="3"/>
        <v>5313</v>
      </c>
      <c r="C149" s="70"/>
      <c r="D149" s="70">
        <v>5313</v>
      </c>
      <c r="E149" s="70"/>
      <c r="F149" s="70"/>
      <c r="G149" s="70"/>
      <c r="H149" s="70"/>
      <c r="I149" s="70"/>
    </row>
    <row r="150" spans="1:9" ht="30" customHeight="1">
      <c r="A150" s="73" t="s">
        <v>107</v>
      </c>
      <c r="B150" s="69">
        <f t="shared" si="3"/>
        <v>2977</v>
      </c>
      <c r="C150" s="70"/>
      <c r="D150" s="70">
        <v>2977</v>
      </c>
      <c r="E150" s="70"/>
      <c r="F150" s="70"/>
      <c r="G150" s="70"/>
      <c r="H150" s="70"/>
      <c r="I150" s="70"/>
    </row>
    <row r="151" spans="1:9" ht="15" customHeight="1">
      <c r="A151" s="78" t="s">
        <v>142</v>
      </c>
      <c r="B151" s="69">
        <f t="shared" si="3"/>
        <v>9246</v>
      </c>
      <c r="C151" s="79"/>
      <c r="D151" s="70">
        <v>9246</v>
      </c>
      <c r="E151" s="70"/>
      <c r="F151" s="70"/>
      <c r="G151" s="79"/>
      <c r="H151" s="70"/>
      <c r="I151" s="70"/>
    </row>
    <row r="152" spans="1:9" ht="30" customHeight="1">
      <c r="A152" s="73" t="s">
        <v>108</v>
      </c>
      <c r="B152" s="69">
        <f t="shared" si="3"/>
        <v>2490</v>
      </c>
      <c r="C152" s="70"/>
      <c r="D152" s="70">
        <v>2490</v>
      </c>
      <c r="E152" s="70"/>
      <c r="F152" s="70"/>
      <c r="G152" s="70"/>
      <c r="H152" s="70"/>
      <c r="I152" s="70"/>
    </row>
    <row r="153" spans="1:9" ht="15" customHeight="1">
      <c r="A153" s="73" t="s">
        <v>253</v>
      </c>
      <c r="B153" s="69">
        <f t="shared" si="3"/>
        <v>8746</v>
      </c>
      <c r="C153" s="70"/>
      <c r="D153" s="70">
        <v>8746</v>
      </c>
      <c r="E153" s="70"/>
      <c r="F153" s="70"/>
      <c r="G153" s="70"/>
      <c r="H153" s="70"/>
      <c r="I153" s="70"/>
    </row>
    <row r="154" spans="1:9" ht="30" customHeight="1">
      <c r="A154" s="73" t="s">
        <v>105</v>
      </c>
      <c r="B154" s="69">
        <f t="shared" si="3"/>
        <v>2315</v>
      </c>
      <c r="C154" s="70"/>
      <c r="D154" s="70">
        <v>2315</v>
      </c>
      <c r="E154" s="70"/>
      <c r="F154" s="70"/>
      <c r="G154" s="70"/>
      <c r="H154" s="70"/>
      <c r="I154" s="70"/>
    </row>
    <row r="155" spans="1:9" ht="30" customHeight="1">
      <c r="A155" s="73" t="s">
        <v>611</v>
      </c>
      <c r="B155" s="69">
        <f t="shared" si="3"/>
        <v>2300</v>
      </c>
      <c r="C155" s="70"/>
      <c r="D155" s="70">
        <v>2300</v>
      </c>
      <c r="E155" s="70"/>
      <c r="F155" s="70"/>
      <c r="G155" s="70"/>
      <c r="H155" s="70"/>
      <c r="I155" s="70"/>
    </row>
    <row r="156" spans="1:9" ht="30" customHeight="1">
      <c r="A156" s="73" t="s">
        <v>113</v>
      </c>
      <c r="B156" s="69">
        <f t="shared" si="3"/>
        <v>3974</v>
      </c>
      <c r="C156" s="70"/>
      <c r="D156" s="70">
        <v>3974</v>
      </c>
      <c r="E156" s="70"/>
      <c r="F156" s="70"/>
      <c r="G156" s="70"/>
      <c r="H156" s="70"/>
      <c r="I156" s="70"/>
    </row>
    <row r="157" spans="1:9" ht="30" customHeight="1">
      <c r="A157" s="73" t="s">
        <v>100</v>
      </c>
      <c r="B157" s="69">
        <f t="shared" si="3"/>
        <v>34480</v>
      </c>
      <c r="C157" s="70">
        <v>26611</v>
      </c>
      <c r="D157" s="70">
        <v>7869</v>
      </c>
      <c r="E157" s="70"/>
      <c r="F157" s="70"/>
      <c r="G157" s="70"/>
      <c r="H157" s="70"/>
      <c r="I157" s="70"/>
    </row>
    <row r="158" spans="1:9" ht="30" customHeight="1">
      <c r="A158" s="73" t="s">
        <v>621</v>
      </c>
      <c r="B158" s="69">
        <f t="shared" si="3"/>
        <v>2840</v>
      </c>
      <c r="C158" s="70"/>
      <c r="D158" s="70">
        <v>2840</v>
      </c>
      <c r="E158" s="70"/>
      <c r="F158" s="70"/>
      <c r="G158" s="70"/>
      <c r="H158" s="70"/>
      <c r="I158" s="70"/>
    </row>
    <row r="159" spans="1:9" ht="30" customHeight="1">
      <c r="A159" s="73" t="s">
        <v>115</v>
      </c>
      <c r="B159" s="69">
        <f t="shared" si="3"/>
        <v>12964</v>
      </c>
      <c r="C159" s="70">
        <v>10084</v>
      </c>
      <c r="D159" s="70">
        <v>2880</v>
      </c>
      <c r="E159" s="70"/>
      <c r="F159" s="70"/>
      <c r="G159" s="70"/>
      <c r="H159" s="70"/>
      <c r="I159" s="70"/>
    </row>
    <row r="160" spans="1:9" ht="30" customHeight="1">
      <c r="A160" s="74" t="s">
        <v>138</v>
      </c>
      <c r="B160" s="69">
        <f t="shared" si="3"/>
        <v>26000</v>
      </c>
      <c r="C160" s="79"/>
      <c r="D160" s="70">
        <v>0</v>
      </c>
      <c r="E160" s="70"/>
      <c r="F160" s="70"/>
      <c r="G160" s="77">
        <v>26000</v>
      </c>
      <c r="H160" s="70"/>
      <c r="I160" s="70"/>
    </row>
    <row r="161" spans="1:9" ht="15" customHeight="1">
      <c r="A161" s="100" t="s">
        <v>288</v>
      </c>
      <c r="B161" s="69">
        <f t="shared" si="3"/>
        <v>15114</v>
      </c>
      <c r="C161" s="70">
        <f>3887+8978</f>
        <v>12865</v>
      </c>
      <c r="D161" s="70">
        <v>2249</v>
      </c>
      <c r="E161" s="70"/>
      <c r="F161" s="70"/>
      <c r="G161" s="70"/>
      <c r="H161" s="70"/>
      <c r="I161" s="70"/>
    </row>
    <row r="162" spans="1:9" ht="15" customHeight="1">
      <c r="A162" s="100" t="s">
        <v>289</v>
      </c>
      <c r="B162" s="69">
        <f t="shared" si="3"/>
        <v>13557</v>
      </c>
      <c r="C162" s="70">
        <f>8772+2920</f>
        <v>11692</v>
      </c>
      <c r="D162" s="70">
        <v>1865</v>
      </c>
      <c r="E162" s="70"/>
      <c r="F162" s="70"/>
      <c r="G162" s="70"/>
      <c r="H162" s="70"/>
      <c r="I162" s="70"/>
    </row>
    <row r="163" spans="1:9" ht="15" customHeight="1">
      <c r="A163" s="100" t="s">
        <v>290</v>
      </c>
      <c r="B163" s="69">
        <f t="shared" si="3"/>
        <v>12020</v>
      </c>
      <c r="C163" s="70">
        <f>1333+8978</f>
        <v>10311</v>
      </c>
      <c r="D163" s="70">
        <v>1709</v>
      </c>
      <c r="E163" s="70"/>
      <c r="F163" s="70"/>
      <c r="G163" s="70"/>
      <c r="H163" s="70"/>
      <c r="I163" s="70"/>
    </row>
    <row r="164" spans="1:9" ht="15" customHeight="1">
      <c r="A164" s="100" t="s">
        <v>144</v>
      </c>
      <c r="B164" s="69">
        <f t="shared" si="3"/>
        <v>11261</v>
      </c>
      <c r="C164" s="70">
        <f>374+8772</f>
        <v>9146</v>
      </c>
      <c r="D164" s="70">
        <v>2115</v>
      </c>
      <c r="E164" s="70"/>
      <c r="F164" s="70"/>
      <c r="G164" s="70"/>
      <c r="H164" s="70"/>
      <c r="I164" s="70"/>
    </row>
    <row r="165" spans="1:9" ht="15" customHeight="1">
      <c r="A165" s="100" t="s">
        <v>291</v>
      </c>
      <c r="B165" s="69">
        <f t="shared" si="3"/>
        <v>11153</v>
      </c>
      <c r="C165" s="70">
        <f>366+8772</f>
        <v>9138</v>
      </c>
      <c r="D165" s="70">
        <v>2015</v>
      </c>
      <c r="E165" s="70"/>
      <c r="F165" s="70"/>
      <c r="G165" s="70"/>
      <c r="H165" s="70"/>
      <c r="I165" s="70"/>
    </row>
    <row r="166" spans="1:9" ht="15" customHeight="1">
      <c r="A166" s="100" t="s">
        <v>292</v>
      </c>
      <c r="B166" s="69">
        <f t="shared" si="3"/>
        <v>13657</v>
      </c>
      <c r="C166" s="77">
        <f>8772+2920</f>
        <v>11692</v>
      </c>
      <c r="D166" s="70">
        <v>1965</v>
      </c>
      <c r="E166" s="79"/>
      <c r="F166" s="79"/>
      <c r="G166" s="79"/>
      <c r="H166" s="79"/>
      <c r="I166" s="79"/>
    </row>
    <row r="167" spans="1:9" ht="15" customHeight="1">
      <c r="A167" s="101" t="s">
        <v>293</v>
      </c>
      <c r="B167" s="69">
        <f t="shared" si="3"/>
        <v>14603</v>
      </c>
      <c r="C167" s="70">
        <f>8772+3006</f>
        <v>11778</v>
      </c>
      <c r="D167" s="70">
        <v>2825</v>
      </c>
      <c r="E167" s="70"/>
      <c r="F167" s="70"/>
      <c r="G167" s="70"/>
      <c r="H167" s="70"/>
      <c r="I167" s="70"/>
    </row>
    <row r="168" spans="1:9" ht="15" customHeight="1">
      <c r="A168" s="100" t="s">
        <v>294</v>
      </c>
      <c r="B168" s="69">
        <f t="shared" si="3"/>
        <v>16592</v>
      </c>
      <c r="C168" s="70">
        <f>2920+8772</f>
        <v>11692</v>
      </c>
      <c r="D168" s="70">
        <v>4900</v>
      </c>
      <c r="E168" s="70"/>
      <c r="F168" s="70"/>
      <c r="G168" s="70"/>
      <c r="H168" s="70"/>
      <c r="I168" s="70"/>
    </row>
    <row r="169" spans="1:9" ht="15" customHeight="1">
      <c r="A169" s="100" t="s">
        <v>295</v>
      </c>
      <c r="B169" s="69">
        <f t="shared" si="3"/>
        <v>11061</v>
      </c>
      <c r="C169" s="70">
        <f>374+8772</f>
        <v>9146</v>
      </c>
      <c r="D169" s="70">
        <v>1915</v>
      </c>
      <c r="E169" s="70"/>
      <c r="F169" s="70"/>
      <c r="G169" s="70"/>
      <c r="H169" s="70"/>
      <c r="I169" s="70"/>
    </row>
    <row r="170" spans="1:9" ht="30" customHeight="1">
      <c r="A170" s="74" t="s">
        <v>182</v>
      </c>
      <c r="B170" s="69">
        <f t="shared" si="3"/>
        <v>34886</v>
      </c>
      <c r="C170" s="77">
        <v>15699</v>
      </c>
      <c r="D170" s="70">
        <v>19187</v>
      </c>
      <c r="E170" s="79"/>
      <c r="F170" s="79"/>
      <c r="G170" s="79"/>
      <c r="H170" s="79"/>
      <c r="I170" s="79"/>
    </row>
    <row r="171" spans="1:9" ht="45" customHeight="1">
      <c r="A171" s="72" t="s">
        <v>57</v>
      </c>
      <c r="B171" s="69">
        <f t="shared" si="3"/>
        <v>45525</v>
      </c>
      <c r="C171" s="70"/>
      <c r="D171" s="70">
        <v>45525</v>
      </c>
      <c r="E171" s="70"/>
      <c r="F171" s="70"/>
      <c r="G171" s="70"/>
      <c r="H171" s="70"/>
      <c r="I171" s="70"/>
    </row>
    <row r="172" spans="1:9" ht="60" customHeight="1">
      <c r="A172" s="74" t="s">
        <v>245</v>
      </c>
      <c r="B172" s="69">
        <f t="shared" si="3"/>
        <v>15805</v>
      </c>
      <c r="C172" s="75"/>
      <c r="D172" s="70">
        <v>14305</v>
      </c>
      <c r="E172" s="79"/>
      <c r="F172" s="79"/>
      <c r="G172" s="79">
        <v>1500</v>
      </c>
      <c r="H172" s="75"/>
      <c r="I172" s="79"/>
    </row>
    <row r="173" spans="1:9" ht="15" customHeight="1">
      <c r="A173" s="73" t="s">
        <v>143</v>
      </c>
      <c r="B173" s="69">
        <f t="shared" si="3"/>
        <v>3245</v>
      </c>
      <c r="C173" s="70"/>
      <c r="D173" s="70">
        <v>3245</v>
      </c>
      <c r="E173" s="70"/>
      <c r="F173" s="70"/>
      <c r="G173" s="70"/>
      <c r="H173" s="70"/>
      <c r="I173" s="70"/>
    </row>
    <row r="174" spans="1:9" ht="45" customHeight="1">
      <c r="A174" s="73" t="s">
        <v>207</v>
      </c>
      <c r="B174" s="69">
        <f t="shared" si="3"/>
        <v>5733</v>
      </c>
      <c r="C174" s="70"/>
      <c r="D174" s="70">
        <v>5733</v>
      </c>
      <c r="E174" s="70"/>
      <c r="F174" s="70"/>
      <c r="G174" s="70"/>
      <c r="H174" s="70"/>
      <c r="I174" s="70"/>
    </row>
    <row r="175" spans="1:9" ht="15" customHeight="1">
      <c r="A175" s="71" t="s">
        <v>168</v>
      </c>
      <c r="B175" s="69">
        <f t="shared" si="3"/>
        <v>83744</v>
      </c>
      <c r="C175" s="70">
        <v>76892</v>
      </c>
      <c r="D175" s="70">
        <v>6852</v>
      </c>
      <c r="E175" s="70"/>
      <c r="F175" s="70"/>
      <c r="G175" s="70"/>
      <c r="H175" s="70"/>
      <c r="I175" s="70"/>
    </row>
    <row r="176" spans="1:9" ht="30" customHeight="1">
      <c r="A176" s="71" t="s">
        <v>200</v>
      </c>
      <c r="B176" s="69">
        <f t="shared" si="3"/>
        <v>44140</v>
      </c>
      <c r="C176" s="70">
        <v>2143</v>
      </c>
      <c r="D176" s="70">
        <v>41997</v>
      </c>
      <c r="E176" s="70"/>
      <c r="F176" s="70"/>
      <c r="G176" s="70"/>
      <c r="H176" s="70"/>
      <c r="I176" s="70"/>
    </row>
    <row r="177" spans="1:9" ht="15" customHeight="1">
      <c r="A177" s="71" t="s">
        <v>30</v>
      </c>
      <c r="B177" s="69">
        <f t="shared" si="3"/>
        <v>12286</v>
      </c>
      <c r="C177" s="70">
        <v>400</v>
      </c>
      <c r="D177" s="70">
        <v>11886</v>
      </c>
      <c r="E177" s="70"/>
      <c r="F177" s="70"/>
      <c r="G177" s="70"/>
      <c r="H177" s="70"/>
      <c r="I177" s="70"/>
    </row>
    <row r="178" spans="1:9" ht="15" customHeight="1">
      <c r="A178" s="71" t="s">
        <v>221</v>
      </c>
      <c r="B178" s="69">
        <f t="shared" si="3"/>
        <v>23496</v>
      </c>
      <c r="C178" s="70">
        <v>18974</v>
      </c>
      <c r="D178" s="70">
        <v>4522</v>
      </c>
      <c r="E178" s="70"/>
      <c r="F178" s="70"/>
      <c r="G178" s="70"/>
      <c r="H178" s="70"/>
      <c r="I178" s="70"/>
    </row>
    <row r="179" spans="1:9" ht="15" customHeight="1">
      <c r="A179" s="71" t="s">
        <v>31</v>
      </c>
      <c r="B179" s="69">
        <f t="shared" si="3"/>
        <v>521740</v>
      </c>
      <c r="C179" s="70">
        <v>450908</v>
      </c>
      <c r="D179" s="70">
        <v>46432</v>
      </c>
      <c r="E179" s="70"/>
      <c r="F179" s="70"/>
      <c r="G179" s="70">
        <v>24400</v>
      </c>
      <c r="H179" s="70"/>
      <c r="I179" s="70"/>
    </row>
    <row r="180" spans="1:9" ht="15" customHeight="1">
      <c r="A180" s="72" t="s">
        <v>77</v>
      </c>
      <c r="B180" s="69">
        <f t="shared" si="3"/>
        <v>134974</v>
      </c>
      <c r="C180" s="70">
        <v>106155</v>
      </c>
      <c r="D180" s="70">
        <v>28819</v>
      </c>
      <c r="E180" s="70"/>
      <c r="F180" s="70"/>
      <c r="G180" s="70"/>
      <c r="H180" s="70"/>
      <c r="I180" s="70"/>
    </row>
    <row r="181" spans="1:9" ht="15" customHeight="1">
      <c r="A181" s="72" t="s">
        <v>145</v>
      </c>
      <c r="B181" s="69">
        <f t="shared" si="3"/>
        <v>54020</v>
      </c>
      <c r="C181" s="70">
        <v>47113</v>
      </c>
      <c r="D181" s="70">
        <v>6807</v>
      </c>
      <c r="E181" s="70"/>
      <c r="F181" s="70"/>
      <c r="G181" s="70">
        <v>100</v>
      </c>
      <c r="H181" s="70"/>
      <c r="I181" s="70"/>
    </row>
    <row r="182" spans="1:9" ht="15" customHeight="1">
      <c r="A182" s="74" t="s">
        <v>126</v>
      </c>
      <c r="B182" s="69">
        <f t="shared" si="3"/>
        <v>13729</v>
      </c>
      <c r="C182" s="81">
        <v>12137</v>
      </c>
      <c r="D182" s="70">
        <v>1592</v>
      </c>
      <c r="E182" s="82"/>
      <c r="F182" s="82"/>
      <c r="G182" s="82"/>
      <c r="H182" s="82"/>
      <c r="I182" s="82"/>
    </row>
    <row r="183" spans="1:9" ht="15" customHeight="1">
      <c r="A183" s="73" t="s">
        <v>125</v>
      </c>
      <c r="B183" s="69">
        <f t="shared" si="3"/>
        <v>44440</v>
      </c>
      <c r="C183" s="70">
        <v>31925</v>
      </c>
      <c r="D183" s="70">
        <v>12515</v>
      </c>
      <c r="E183" s="70"/>
      <c r="F183" s="70"/>
      <c r="G183" s="70"/>
      <c r="H183" s="70"/>
      <c r="I183" s="70"/>
    </row>
    <row r="184" spans="1:9" ht="30" customHeight="1">
      <c r="A184" s="73" t="s">
        <v>124</v>
      </c>
      <c r="B184" s="69">
        <f t="shared" si="3"/>
        <v>15181</v>
      </c>
      <c r="C184" s="70">
        <v>11523</v>
      </c>
      <c r="D184" s="70">
        <v>3658</v>
      </c>
      <c r="E184" s="70"/>
      <c r="F184" s="70"/>
      <c r="G184" s="70"/>
      <c r="H184" s="70"/>
      <c r="I184" s="70"/>
    </row>
    <row r="185" spans="1:9" ht="15" customHeight="1">
      <c r="A185" s="71" t="s">
        <v>75</v>
      </c>
      <c r="B185" s="69">
        <f t="shared" si="3"/>
        <v>267331</v>
      </c>
      <c r="C185" s="70">
        <v>204628</v>
      </c>
      <c r="D185" s="70">
        <v>62703</v>
      </c>
      <c r="E185" s="70"/>
      <c r="F185" s="70"/>
      <c r="G185" s="70"/>
      <c r="H185" s="70"/>
      <c r="I185" s="70"/>
    </row>
    <row r="186" spans="1:9" ht="15" customHeight="1">
      <c r="A186" s="71" t="s">
        <v>32</v>
      </c>
      <c r="B186" s="69">
        <f t="shared" si="3"/>
        <v>111906</v>
      </c>
      <c r="C186" s="70">
        <v>3685</v>
      </c>
      <c r="D186" s="70">
        <v>108221</v>
      </c>
      <c r="E186" s="70"/>
      <c r="F186" s="70"/>
      <c r="G186" s="70"/>
      <c r="H186" s="70"/>
      <c r="I186" s="70"/>
    </row>
    <row r="187" spans="1:9" ht="15" customHeight="1">
      <c r="A187" s="73" t="s">
        <v>644</v>
      </c>
      <c r="B187" s="69">
        <f t="shared" si="3"/>
        <v>46924</v>
      </c>
      <c r="C187" s="70">
        <v>44791</v>
      </c>
      <c r="D187" s="70">
        <v>2133</v>
      </c>
      <c r="E187" s="70"/>
      <c r="F187" s="70"/>
      <c r="G187" s="70"/>
      <c r="H187" s="70"/>
      <c r="I187" s="70"/>
    </row>
    <row r="188" spans="1:9" ht="15" customHeight="1">
      <c r="A188" s="73" t="s">
        <v>162</v>
      </c>
      <c r="B188" s="69">
        <f t="shared" si="3"/>
        <v>10531</v>
      </c>
      <c r="C188" s="70">
        <v>4732</v>
      </c>
      <c r="D188" s="70">
        <v>5799</v>
      </c>
      <c r="E188" s="70"/>
      <c r="F188" s="70"/>
      <c r="G188" s="70"/>
      <c r="H188" s="70"/>
      <c r="I188" s="70"/>
    </row>
    <row r="189" spans="1:9" ht="15" customHeight="1">
      <c r="A189" s="71" t="s">
        <v>193</v>
      </c>
      <c r="B189" s="69">
        <f t="shared" si="3"/>
        <v>45457</v>
      </c>
      <c r="C189" s="70">
        <v>37858</v>
      </c>
      <c r="D189" s="70">
        <v>7599</v>
      </c>
      <c r="E189" s="70"/>
      <c r="F189" s="70"/>
      <c r="G189" s="70"/>
      <c r="H189" s="70"/>
      <c r="I189" s="70"/>
    </row>
    <row r="190" spans="1:9" ht="15" customHeight="1">
      <c r="A190" s="71" t="s">
        <v>33</v>
      </c>
      <c r="B190" s="69">
        <f t="shared" si="3"/>
        <v>45300</v>
      </c>
      <c r="C190" s="70">
        <v>36665</v>
      </c>
      <c r="D190" s="70">
        <v>8635</v>
      </c>
      <c r="E190" s="70"/>
      <c r="F190" s="70"/>
      <c r="G190" s="70"/>
      <c r="H190" s="70"/>
      <c r="I190" s="70"/>
    </row>
    <row r="191" spans="1:9" ht="15" customHeight="1">
      <c r="A191" s="71" t="s">
        <v>34</v>
      </c>
      <c r="B191" s="69">
        <f t="shared" si="3"/>
        <v>29992</v>
      </c>
      <c r="C191" s="70">
        <v>25825</v>
      </c>
      <c r="D191" s="70">
        <v>4167</v>
      </c>
      <c r="E191" s="70"/>
      <c r="F191" s="70"/>
      <c r="G191" s="70"/>
      <c r="H191" s="70"/>
      <c r="I191" s="70"/>
    </row>
    <row r="192" spans="1:9" ht="15" customHeight="1">
      <c r="A192" s="71" t="s">
        <v>643</v>
      </c>
      <c r="B192" s="69">
        <f t="shared" si="3"/>
        <v>59734</v>
      </c>
      <c r="C192" s="70">
        <v>36494</v>
      </c>
      <c r="D192" s="70">
        <v>23240</v>
      </c>
      <c r="E192" s="70"/>
      <c r="F192" s="70"/>
      <c r="G192" s="70"/>
      <c r="H192" s="70"/>
      <c r="I192" s="70"/>
    </row>
    <row r="193" spans="1:9" ht="15" customHeight="1">
      <c r="A193" s="74" t="s">
        <v>632</v>
      </c>
      <c r="B193" s="69">
        <f t="shared" si="3"/>
        <v>48863</v>
      </c>
      <c r="C193" s="77">
        <v>33824</v>
      </c>
      <c r="D193" s="70">
        <v>15039</v>
      </c>
      <c r="E193" s="79"/>
      <c r="F193" s="79"/>
      <c r="G193" s="77"/>
      <c r="H193" s="79"/>
      <c r="I193" s="79"/>
    </row>
    <row r="194" spans="1:9" ht="15" customHeight="1">
      <c r="A194" s="71" t="s">
        <v>192</v>
      </c>
      <c r="B194" s="69">
        <f t="shared" si="3"/>
        <v>13232</v>
      </c>
      <c r="C194" s="70">
        <v>11004</v>
      </c>
      <c r="D194" s="70">
        <v>2228</v>
      </c>
      <c r="E194" s="70"/>
      <c r="F194" s="70"/>
      <c r="G194" s="70"/>
      <c r="H194" s="70"/>
      <c r="I194" s="70"/>
    </row>
    <row r="195" spans="1:9" ht="15" customHeight="1">
      <c r="A195" s="73" t="s">
        <v>147</v>
      </c>
      <c r="B195" s="69">
        <f t="shared" si="3"/>
        <v>42997</v>
      </c>
      <c r="C195" s="70">
        <v>30807</v>
      </c>
      <c r="D195" s="70">
        <v>12190</v>
      </c>
      <c r="E195" s="70"/>
      <c r="F195" s="70"/>
      <c r="G195" s="70"/>
      <c r="H195" s="70"/>
      <c r="I195" s="70"/>
    </row>
    <row r="196" spans="1:9" ht="15" customHeight="1">
      <c r="A196" s="71" t="s">
        <v>199</v>
      </c>
      <c r="B196" s="69">
        <f t="shared" si="3"/>
        <v>25396</v>
      </c>
      <c r="C196" s="70">
        <v>19679</v>
      </c>
      <c r="D196" s="70">
        <v>5717</v>
      </c>
      <c r="E196" s="70"/>
      <c r="F196" s="70"/>
      <c r="G196" s="70"/>
      <c r="H196" s="70"/>
      <c r="I196" s="70"/>
    </row>
    <row r="197" spans="1:9" ht="15" customHeight="1">
      <c r="A197" s="71" t="s">
        <v>190</v>
      </c>
      <c r="B197" s="69">
        <f t="shared" si="3"/>
        <v>18975</v>
      </c>
      <c r="C197" s="70">
        <v>15061</v>
      </c>
      <c r="D197" s="70">
        <v>3914</v>
      </c>
      <c r="E197" s="70"/>
      <c r="F197" s="70"/>
      <c r="G197" s="70"/>
      <c r="H197" s="70"/>
      <c r="I197" s="70"/>
    </row>
    <row r="198" spans="1:9" ht="15" customHeight="1">
      <c r="A198" s="74" t="s">
        <v>631</v>
      </c>
      <c r="B198" s="69">
        <f t="shared" si="3"/>
        <v>64947</v>
      </c>
      <c r="C198" s="81">
        <v>53321</v>
      </c>
      <c r="D198" s="70">
        <v>11626</v>
      </c>
      <c r="E198" s="82"/>
      <c r="F198" s="82"/>
      <c r="G198" s="82"/>
      <c r="H198" s="82"/>
      <c r="I198" s="82"/>
    </row>
    <row r="199" spans="1:9" ht="15" customHeight="1">
      <c r="A199" s="71" t="s">
        <v>642</v>
      </c>
      <c r="B199" s="69">
        <f t="shared" si="3"/>
        <v>50753</v>
      </c>
      <c r="C199" s="70">
        <v>41671</v>
      </c>
      <c r="D199" s="70">
        <v>9082</v>
      </c>
      <c r="E199" s="70"/>
      <c r="F199" s="70"/>
      <c r="G199" s="70"/>
      <c r="H199" s="70"/>
      <c r="I199" s="70"/>
    </row>
    <row r="200" spans="1:9" ht="15" customHeight="1">
      <c r="A200" s="71" t="s">
        <v>201</v>
      </c>
      <c r="B200" s="69">
        <f t="shared" si="3"/>
        <v>35509</v>
      </c>
      <c r="C200" s="70">
        <v>29563</v>
      </c>
      <c r="D200" s="70">
        <v>5946</v>
      </c>
      <c r="E200" s="70"/>
      <c r="F200" s="70"/>
      <c r="G200" s="70"/>
      <c r="H200" s="70"/>
      <c r="I200" s="70"/>
    </row>
    <row r="201" spans="1:9" ht="15" customHeight="1">
      <c r="A201" s="71" t="s">
        <v>35</v>
      </c>
      <c r="B201" s="69">
        <f t="shared" si="3"/>
        <v>30054</v>
      </c>
      <c r="C201" s="70">
        <v>23677</v>
      </c>
      <c r="D201" s="70">
        <v>6377</v>
      </c>
      <c r="E201" s="70"/>
      <c r="F201" s="70"/>
      <c r="G201" s="70"/>
      <c r="H201" s="70"/>
      <c r="I201" s="70"/>
    </row>
    <row r="202" spans="1:9" ht="15" customHeight="1">
      <c r="A202" s="73" t="s">
        <v>641</v>
      </c>
      <c r="B202" s="69">
        <f t="shared" si="3"/>
        <v>112765</v>
      </c>
      <c r="C202" s="70">
        <v>72657</v>
      </c>
      <c r="D202" s="70">
        <v>40108</v>
      </c>
      <c r="E202" s="70"/>
      <c r="F202" s="70"/>
      <c r="G202" s="70"/>
      <c r="H202" s="70"/>
      <c r="I202" s="70"/>
    </row>
    <row r="203" spans="1:9" ht="15" customHeight="1">
      <c r="A203" s="73" t="s">
        <v>640</v>
      </c>
      <c r="B203" s="69">
        <f t="shared" si="3"/>
        <v>41992</v>
      </c>
      <c r="C203" s="70">
        <v>28800</v>
      </c>
      <c r="D203" s="70">
        <v>13192</v>
      </c>
      <c r="E203" s="70"/>
      <c r="F203" s="70"/>
      <c r="G203" s="70"/>
      <c r="H203" s="70"/>
      <c r="I203" s="70"/>
    </row>
    <row r="204" spans="1:9" ht="30" customHeight="1">
      <c r="A204" s="73" t="s">
        <v>148</v>
      </c>
      <c r="B204" s="69">
        <f t="shared" si="3"/>
        <v>23841</v>
      </c>
      <c r="C204" s="70">
        <v>14015</v>
      </c>
      <c r="D204" s="70">
        <v>9826</v>
      </c>
      <c r="E204" s="70"/>
      <c r="F204" s="70"/>
      <c r="G204" s="70"/>
      <c r="H204" s="70"/>
      <c r="I204" s="70"/>
    </row>
    <row r="205" spans="1:9" ht="30" customHeight="1">
      <c r="A205" s="73" t="s">
        <v>146</v>
      </c>
      <c r="B205" s="69">
        <f t="shared" si="4" ref="B205:B268">=SUM(C205:I205)</f>
        <v>68956</v>
      </c>
      <c r="C205" s="70">
        <v>49981</v>
      </c>
      <c r="D205" s="70">
        <v>18475</v>
      </c>
      <c r="E205" s="70"/>
      <c r="F205" s="70"/>
      <c r="G205" s="70">
        <v>500</v>
      </c>
      <c r="H205" s="70"/>
      <c r="I205" s="70"/>
    </row>
    <row r="206" spans="1:9" ht="32.1" customHeight="1">
      <c r="A206" s="68" t="s">
        <v>646</v>
      </c>
      <c r="B206" s="69">
        <f t="shared" si="4"/>
        <v>300</v>
      </c>
      <c r="C206" s="70"/>
      <c r="D206" s="70"/>
      <c r="E206" s="70">
        <v>300</v>
      </c>
      <c r="F206" s="70"/>
      <c r="G206" s="70"/>
      <c r="H206" s="70"/>
      <c r="I206" s="70"/>
    </row>
    <row r="207" spans="1:9" ht="15" customHeight="1">
      <c r="A207" s="72" t="s">
        <v>170</v>
      </c>
      <c r="B207" s="69">
        <f t="shared" si="4"/>
        <v>64786</v>
      </c>
      <c r="C207" s="83">
        <v>58308</v>
      </c>
      <c r="D207" s="70">
        <v>5263</v>
      </c>
      <c r="E207" s="84"/>
      <c r="F207" s="84"/>
      <c r="G207" s="83"/>
      <c r="H207" s="84"/>
      <c r="I207" s="84">
        <v>1215</v>
      </c>
    </row>
    <row r="208" spans="1:9" ht="15" customHeight="1">
      <c r="A208" s="72" t="s">
        <v>171</v>
      </c>
      <c r="B208" s="69">
        <f t="shared" si="4"/>
        <v>69380</v>
      </c>
      <c r="C208" s="83">
        <v>4838</v>
      </c>
      <c r="D208" s="70">
        <v>64542</v>
      </c>
      <c r="E208" s="84"/>
      <c r="F208" s="84"/>
      <c r="G208" s="83"/>
      <c r="H208" s="84"/>
      <c r="I208" s="84"/>
    </row>
    <row r="209" spans="1:9" ht="15" customHeight="1">
      <c r="A209" s="72" t="s">
        <v>241</v>
      </c>
      <c r="B209" s="69">
        <f t="shared" si="4"/>
        <v>53769</v>
      </c>
      <c r="C209" s="83"/>
      <c r="D209" s="70">
        <v>53769</v>
      </c>
      <c r="E209" s="84"/>
      <c r="F209" s="84"/>
      <c r="G209" s="83"/>
      <c r="H209" s="84"/>
      <c r="I209" s="84"/>
    </row>
    <row r="210" spans="1:9" ht="30" customHeight="1">
      <c r="A210" s="72" t="s">
        <v>667</v>
      </c>
      <c r="B210" s="69">
        <f t="shared" si="4"/>
        <v>99418</v>
      </c>
      <c r="C210" s="83">
        <v>2010</v>
      </c>
      <c r="D210" s="70">
        <v>97408</v>
      </c>
      <c r="E210" s="84"/>
      <c r="F210" s="84"/>
      <c r="G210" s="83"/>
      <c r="H210" s="84"/>
      <c r="I210" s="84"/>
    </row>
    <row r="211" spans="1:9" ht="63.75" customHeight="1">
      <c r="A211" s="72" t="s">
        <v>648</v>
      </c>
      <c r="B211" s="69">
        <f t="shared" si="4"/>
        <v>4709</v>
      </c>
      <c r="C211" s="83"/>
      <c r="D211" s="70"/>
      <c r="E211" s="84">
        <v>4709</v>
      </c>
      <c r="F211" s="84"/>
      <c r="G211" s="83"/>
      <c r="H211" s="84"/>
      <c r="I211" s="84"/>
    </row>
    <row r="212" spans="1:9" ht="30" customHeight="1">
      <c r="A212" s="73" t="s">
        <v>36</v>
      </c>
      <c r="B212" s="69">
        <f t="shared" si="4"/>
        <v>69309</v>
      </c>
      <c r="C212" s="70">
        <v>446</v>
      </c>
      <c r="D212" s="70">
        <v>68203</v>
      </c>
      <c r="E212" s="70"/>
      <c r="F212" s="70"/>
      <c r="G212" s="70"/>
      <c r="H212" s="70">
        <v>660</v>
      </c>
      <c r="I212" s="70"/>
    </row>
    <row r="213" spans="1:9" ht="15" customHeight="1">
      <c r="A213" s="71" t="s">
        <v>37</v>
      </c>
      <c r="B213" s="69">
        <f t="shared" si="4"/>
        <v>729442</v>
      </c>
      <c r="C213" s="70">
        <v>629191</v>
      </c>
      <c r="D213" s="70">
        <v>100251</v>
      </c>
      <c r="E213" s="70"/>
      <c r="F213" s="70"/>
      <c r="G213" s="70"/>
      <c r="H213" s="70"/>
      <c r="I213" s="70"/>
    </row>
    <row r="214" spans="1:9" ht="15" customHeight="1">
      <c r="A214" s="71" t="s">
        <v>38</v>
      </c>
      <c r="B214" s="69">
        <f t="shared" si="4"/>
        <v>465982</v>
      </c>
      <c r="C214" s="70">
        <v>397079</v>
      </c>
      <c r="D214" s="70">
        <v>68903</v>
      </c>
      <c r="E214" s="70"/>
      <c r="F214" s="70"/>
      <c r="G214" s="70"/>
      <c r="H214" s="70"/>
      <c r="I214" s="70"/>
    </row>
    <row r="215" spans="1:9" ht="15" customHeight="1">
      <c r="A215" s="71" t="s">
        <v>39</v>
      </c>
      <c r="B215" s="69">
        <f t="shared" si="4"/>
        <v>95328</v>
      </c>
      <c r="C215" s="70">
        <v>87253</v>
      </c>
      <c r="D215" s="70">
        <v>8075</v>
      </c>
      <c r="E215" s="70"/>
      <c r="F215" s="70"/>
      <c r="G215" s="70"/>
      <c r="H215" s="70"/>
      <c r="I215" s="70"/>
    </row>
    <row r="216" spans="1:9" ht="15" customHeight="1">
      <c r="A216" s="71" t="s">
        <v>40</v>
      </c>
      <c r="B216" s="69">
        <f t="shared" si="4"/>
        <v>288397</v>
      </c>
      <c r="C216" s="70">
        <v>257379</v>
      </c>
      <c r="D216" s="70">
        <v>31018</v>
      </c>
      <c r="E216" s="70"/>
      <c r="F216" s="70"/>
      <c r="G216" s="70"/>
      <c r="H216" s="70"/>
      <c r="I216" s="70"/>
    </row>
    <row r="217" spans="1:9" ht="30" customHeight="1">
      <c r="A217" s="73" t="s">
        <v>154</v>
      </c>
      <c r="B217" s="69">
        <f t="shared" si="4"/>
        <v>208053</v>
      </c>
      <c r="C217" s="70">
        <v>181983</v>
      </c>
      <c r="D217" s="70">
        <v>26070</v>
      </c>
      <c r="E217" s="70"/>
      <c r="F217" s="70"/>
      <c r="G217" s="70"/>
      <c r="H217" s="70"/>
      <c r="I217" s="70"/>
    </row>
    <row r="218" spans="1:9" ht="30" customHeight="1">
      <c r="A218" s="73" t="s">
        <v>155</v>
      </c>
      <c r="B218" s="69">
        <f t="shared" si="4"/>
        <v>154709</v>
      </c>
      <c r="C218" s="70">
        <v>124329</v>
      </c>
      <c r="D218" s="70">
        <v>30380</v>
      </c>
      <c r="E218" s="70"/>
      <c r="F218" s="70"/>
      <c r="G218" s="70"/>
      <c r="H218" s="70"/>
      <c r="I218" s="70"/>
    </row>
    <row r="219" spans="1:9" ht="15" customHeight="1">
      <c r="A219" s="71" t="s">
        <v>78</v>
      </c>
      <c r="B219" s="69">
        <f t="shared" si="4"/>
        <v>976419</v>
      </c>
      <c r="C219" s="70">
        <v>733654</v>
      </c>
      <c r="D219" s="70">
        <v>242765</v>
      </c>
      <c r="E219" s="70"/>
      <c r="F219" s="70"/>
      <c r="G219" s="70"/>
      <c r="H219" s="70"/>
      <c r="I219" s="70"/>
    </row>
    <row r="220" spans="1:9" ht="15" customHeight="1">
      <c r="A220" s="71" t="s">
        <v>164</v>
      </c>
      <c r="B220" s="69">
        <f t="shared" si="4"/>
        <v>427772</v>
      </c>
      <c r="C220" s="70">
        <v>351657</v>
      </c>
      <c r="D220" s="70">
        <v>75115</v>
      </c>
      <c r="E220" s="70"/>
      <c r="F220" s="70"/>
      <c r="G220" s="70">
        <v>1000</v>
      </c>
      <c r="H220" s="70"/>
      <c r="I220" s="70"/>
    </row>
    <row r="221" spans="1:9" ht="30" customHeight="1">
      <c r="A221" s="71" t="s">
        <v>225</v>
      </c>
      <c r="B221" s="69">
        <f t="shared" si="4"/>
        <v>43300</v>
      </c>
      <c r="C221" s="70">
        <v>24676</v>
      </c>
      <c r="D221" s="70">
        <v>18624</v>
      </c>
      <c r="E221" s="70"/>
      <c r="F221" s="70"/>
      <c r="G221" s="70"/>
      <c r="H221" s="70"/>
      <c r="I221" s="70"/>
    </row>
    <row r="222" spans="1:9" ht="15" customHeight="1">
      <c r="A222" s="74" t="s">
        <v>156</v>
      </c>
      <c r="B222" s="69">
        <f t="shared" si="4"/>
        <v>473696</v>
      </c>
      <c r="C222" s="81">
        <v>425162</v>
      </c>
      <c r="D222" s="70">
        <v>48334</v>
      </c>
      <c r="E222" s="82"/>
      <c r="F222" s="82"/>
      <c r="G222" s="81">
        <v>200</v>
      </c>
      <c r="H222" s="82"/>
      <c r="I222" s="82"/>
    </row>
    <row r="223" spans="1:9" ht="15" customHeight="1">
      <c r="A223" s="71" t="s">
        <v>41</v>
      </c>
      <c r="B223" s="69">
        <f t="shared" si="4"/>
        <v>341882</v>
      </c>
      <c r="C223" s="70">
        <v>294855</v>
      </c>
      <c r="D223" s="70">
        <v>46607</v>
      </c>
      <c r="E223" s="70"/>
      <c r="F223" s="70"/>
      <c r="G223" s="70">
        <v>420</v>
      </c>
      <c r="H223" s="70"/>
      <c r="I223" s="70"/>
    </row>
    <row r="224" spans="1:9" ht="15" customHeight="1">
      <c r="A224" s="71" t="s">
        <v>226</v>
      </c>
      <c r="B224" s="69">
        <f t="shared" si="4"/>
        <v>607732</v>
      </c>
      <c r="C224" s="70">
        <v>508337</v>
      </c>
      <c r="D224" s="70">
        <v>99395</v>
      </c>
      <c r="E224" s="70"/>
      <c r="F224" s="70"/>
      <c r="G224" s="70"/>
      <c r="H224" s="70"/>
      <c r="I224" s="70"/>
    </row>
    <row r="225" spans="1:9" ht="30" customHeight="1">
      <c r="A225" s="71" t="s">
        <v>634</v>
      </c>
      <c r="B225" s="69">
        <f t="shared" si="4"/>
        <v>148997</v>
      </c>
      <c r="C225" s="70">
        <v>125670</v>
      </c>
      <c r="D225" s="70">
        <v>23327</v>
      </c>
      <c r="E225" s="70"/>
      <c r="F225" s="70"/>
      <c r="G225" s="70"/>
      <c r="H225" s="70"/>
      <c r="I225" s="70"/>
    </row>
    <row r="226" spans="1:9" ht="30" customHeight="1">
      <c r="A226" s="71" t="s">
        <v>227</v>
      </c>
      <c r="B226" s="69">
        <f t="shared" si="4"/>
        <v>75555</v>
      </c>
      <c r="C226" s="70">
        <v>62576</v>
      </c>
      <c r="D226" s="70">
        <v>12979</v>
      </c>
      <c r="E226" s="70"/>
      <c r="F226" s="70"/>
      <c r="G226" s="70"/>
      <c r="H226" s="70"/>
      <c r="I226" s="70"/>
    </row>
    <row r="227" spans="1:9" ht="15" customHeight="1">
      <c r="A227" s="73" t="s">
        <v>152</v>
      </c>
      <c r="B227" s="69">
        <f t="shared" si="4"/>
        <v>392286</v>
      </c>
      <c r="C227" s="70">
        <v>329846</v>
      </c>
      <c r="D227" s="70">
        <v>62440</v>
      </c>
      <c r="E227" s="70"/>
      <c r="F227" s="70"/>
      <c r="G227" s="70"/>
      <c r="H227" s="70"/>
      <c r="I227" s="70"/>
    </row>
    <row r="228" spans="1:9" ht="15" customHeight="1">
      <c r="A228" s="73" t="s">
        <v>255</v>
      </c>
      <c r="B228" s="69">
        <f t="shared" si="4"/>
        <v>129367</v>
      </c>
      <c r="C228" s="70">
        <v>82946</v>
      </c>
      <c r="D228" s="70">
        <v>46421</v>
      </c>
      <c r="E228" s="70"/>
      <c r="F228" s="70"/>
      <c r="G228" s="70"/>
      <c r="H228" s="70"/>
      <c r="I228" s="70"/>
    </row>
    <row r="229" spans="1:9" ht="15" customHeight="1">
      <c r="A229" s="71" t="s">
        <v>42</v>
      </c>
      <c r="B229" s="69">
        <f t="shared" si="4"/>
        <v>857655</v>
      </c>
      <c r="C229" s="70">
        <v>675143</v>
      </c>
      <c r="D229" s="70">
        <v>182512</v>
      </c>
      <c r="E229" s="70"/>
      <c r="F229" s="70"/>
      <c r="G229" s="70"/>
      <c r="H229" s="70"/>
      <c r="I229" s="70"/>
    </row>
    <row r="230" spans="1:9" ht="15" customHeight="1">
      <c r="A230" s="73" t="s">
        <v>160</v>
      </c>
      <c r="B230" s="69">
        <f t="shared" si="4"/>
        <v>540254</v>
      </c>
      <c r="C230" s="70">
        <v>429747</v>
      </c>
      <c r="D230" s="70">
        <v>109211</v>
      </c>
      <c r="E230" s="70"/>
      <c r="F230" s="70"/>
      <c r="G230" s="70">
        <v>1296</v>
      </c>
      <c r="H230" s="70"/>
      <c r="I230" s="70"/>
    </row>
    <row r="231" spans="1:9" ht="30" customHeight="1">
      <c r="A231" s="71" t="s">
        <v>53</v>
      </c>
      <c r="B231" s="69">
        <f t="shared" si="4"/>
        <v>807870</v>
      </c>
      <c r="C231" s="70">
        <v>617536</v>
      </c>
      <c r="D231" s="70">
        <v>180254</v>
      </c>
      <c r="E231" s="70"/>
      <c r="F231" s="70"/>
      <c r="G231" s="70">
        <v>80</v>
      </c>
      <c r="H231" s="70">
        <v>10000</v>
      </c>
      <c r="I231" s="70"/>
    </row>
    <row r="232" spans="1:9" ht="45" customHeight="1">
      <c r="A232" s="71" t="s">
        <v>663</v>
      </c>
      <c r="B232" s="69">
        <f t="shared" si="4"/>
        <v>115342</v>
      </c>
      <c r="C232" s="70">
        <v>57413</v>
      </c>
      <c r="D232" s="70">
        <v>57929</v>
      </c>
      <c r="E232" s="70"/>
      <c r="F232" s="70"/>
      <c r="G232" s="70"/>
      <c r="H232" s="70"/>
      <c r="I232" s="70"/>
    </row>
    <row r="233" spans="1:9" ht="15" customHeight="1">
      <c r="A233" s="71" t="s">
        <v>159</v>
      </c>
      <c r="B233" s="69">
        <f t="shared" si="4"/>
        <v>510417</v>
      </c>
      <c r="C233" s="70">
        <v>420504</v>
      </c>
      <c r="D233" s="70">
        <v>89313</v>
      </c>
      <c r="E233" s="70"/>
      <c r="F233" s="70"/>
      <c r="G233" s="70">
        <v>600</v>
      </c>
      <c r="H233" s="70"/>
      <c r="I233" s="70"/>
    </row>
    <row r="234" spans="1:9" ht="15.75" customHeight="1">
      <c r="A234" s="73" t="s">
        <v>151</v>
      </c>
      <c r="B234" s="69">
        <f t="shared" si="4"/>
        <v>539585</v>
      </c>
      <c r="C234" s="70">
        <v>451679</v>
      </c>
      <c r="D234" s="70">
        <v>87606</v>
      </c>
      <c r="E234" s="70"/>
      <c r="F234" s="70"/>
      <c r="G234" s="70">
        <v>300</v>
      </c>
      <c r="H234" s="70"/>
      <c r="I234" s="70"/>
    </row>
    <row r="235" spans="1:9" ht="15" customHeight="1">
      <c r="A235" s="74" t="s">
        <v>166</v>
      </c>
      <c r="B235" s="69">
        <f t="shared" si="4"/>
        <v>652007</v>
      </c>
      <c r="C235" s="77">
        <v>540834</v>
      </c>
      <c r="D235" s="70">
        <v>110173</v>
      </c>
      <c r="E235" s="79"/>
      <c r="F235" s="79"/>
      <c r="G235" s="77">
        <v>1000</v>
      </c>
      <c r="H235" s="79"/>
      <c r="I235" s="79"/>
    </row>
    <row r="236" spans="1:9" ht="15" customHeight="1">
      <c r="A236" s="71" t="s">
        <v>43</v>
      </c>
      <c r="B236" s="69">
        <f t="shared" si="4"/>
        <v>416554</v>
      </c>
      <c r="C236" s="70">
        <v>383681</v>
      </c>
      <c r="D236" s="70">
        <v>30946</v>
      </c>
      <c r="E236" s="70"/>
      <c r="F236" s="70"/>
      <c r="G236" s="70">
        <v>1840</v>
      </c>
      <c r="H236" s="70"/>
      <c r="I236" s="70">
        <v>87</v>
      </c>
    </row>
    <row r="237" spans="1:9" ht="15" customHeight="1">
      <c r="A237" s="71" t="s">
        <v>44</v>
      </c>
      <c r="B237" s="69">
        <f t="shared" si="4"/>
        <v>159130</v>
      </c>
      <c r="C237" s="70">
        <v>132209</v>
      </c>
      <c r="D237" s="70">
        <v>24440</v>
      </c>
      <c r="E237" s="70"/>
      <c r="F237" s="70"/>
      <c r="G237" s="70">
        <v>2481</v>
      </c>
      <c r="H237" s="70"/>
      <c r="I237" s="70"/>
    </row>
    <row r="238" spans="1:9" ht="15" customHeight="1">
      <c r="A238" s="85" t="s">
        <v>158</v>
      </c>
      <c r="B238" s="69">
        <f t="shared" si="4"/>
        <v>144657</v>
      </c>
      <c r="C238" s="70">
        <v>130803</v>
      </c>
      <c r="D238" s="70">
        <v>13204</v>
      </c>
      <c r="E238" s="70"/>
      <c r="F238" s="70"/>
      <c r="G238" s="70">
        <v>650</v>
      </c>
      <c r="H238" s="70"/>
      <c r="I238" s="86"/>
    </row>
    <row r="239" spans="1:9" ht="15" customHeight="1">
      <c r="A239" s="73" t="s">
        <v>150</v>
      </c>
      <c r="B239" s="69">
        <f t="shared" si="4"/>
        <v>128163</v>
      </c>
      <c r="C239" s="70">
        <v>121357</v>
      </c>
      <c r="D239" s="70">
        <v>5032</v>
      </c>
      <c r="E239" s="70"/>
      <c r="F239" s="70"/>
      <c r="G239" s="70"/>
      <c r="H239" s="70"/>
      <c r="I239" s="70">
        <v>1774</v>
      </c>
    </row>
    <row r="240" spans="1:9" ht="15" customHeight="1">
      <c r="A240" s="71" t="s">
        <v>45</v>
      </c>
      <c r="B240" s="69">
        <f t="shared" si="4"/>
        <v>524204</v>
      </c>
      <c r="C240" s="70">
        <v>454526</v>
      </c>
      <c r="D240" s="70">
        <v>69478</v>
      </c>
      <c r="E240" s="70"/>
      <c r="F240" s="70"/>
      <c r="G240" s="70">
        <v>200</v>
      </c>
      <c r="H240" s="70"/>
      <c r="I240" s="70"/>
    </row>
    <row r="241" spans="1:9" ht="15" customHeight="1">
      <c r="A241" s="71" t="s">
        <v>52</v>
      </c>
      <c r="B241" s="69">
        <f t="shared" si="4"/>
        <v>220965</v>
      </c>
      <c r="C241" s="70">
        <v>90094</v>
      </c>
      <c r="D241" s="70">
        <v>130871</v>
      </c>
      <c r="E241" s="70"/>
      <c r="F241" s="70"/>
      <c r="G241" s="70"/>
      <c r="H241" s="70"/>
      <c r="I241" s="70"/>
    </row>
    <row r="242" spans="1:9" ht="30" customHeight="1">
      <c r="A242" s="71" t="s">
        <v>228</v>
      </c>
      <c r="B242" s="69">
        <f t="shared" si="4"/>
        <v>218255</v>
      </c>
      <c r="C242" s="70">
        <v>175526</v>
      </c>
      <c r="D242" s="70">
        <v>42729</v>
      </c>
      <c r="E242" s="70"/>
      <c r="F242" s="70"/>
      <c r="G242" s="70"/>
      <c r="H242" s="70"/>
      <c r="I242" s="70"/>
    </row>
    <row r="243" spans="1:9" ht="15" customHeight="1">
      <c r="A243" s="71" t="s">
        <v>157</v>
      </c>
      <c r="B243" s="69">
        <f t="shared" si="4"/>
        <v>271060</v>
      </c>
      <c r="C243" s="70">
        <v>249314</v>
      </c>
      <c r="D243" s="70">
        <v>8937</v>
      </c>
      <c r="E243" s="70"/>
      <c r="F243" s="70"/>
      <c r="G243" s="70">
        <v>765</v>
      </c>
      <c r="H243" s="70"/>
      <c r="I243" s="70">
        <v>12044</v>
      </c>
    </row>
    <row r="244" spans="1:9" ht="15" customHeight="1">
      <c r="A244" s="71" t="s">
        <v>169</v>
      </c>
      <c r="B244" s="69">
        <f t="shared" si="4"/>
        <v>62449</v>
      </c>
      <c r="C244" s="70">
        <v>7682</v>
      </c>
      <c r="D244" s="70">
        <v>47267</v>
      </c>
      <c r="E244" s="70"/>
      <c r="F244" s="70"/>
      <c r="G244" s="70"/>
      <c r="H244" s="70">
        <v>7500</v>
      </c>
      <c r="I244" s="70"/>
    </row>
    <row r="245" spans="1:9" ht="15" customHeight="1">
      <c r="A245" s="73" t="s">
        <v>62</v>
      </c>
      <c r="B245" s="69">
        <f t="shared" si="4"/>
        <v>12789</v>
      </c>
      <c r="C245" s="70"/>
      <c r="D245" s="70">
        <v>12789</v>
      </c>
      <c r="E245" s="70"/>
      <c r="F245" s="70"/>
      <c r="G245" s="70"/>
      <c r="H245" s="70"/>
      <c r="I245" s="70"/>
    </row>
    <row r="246" spans="1:9" ht="30" customHeight="1">
      <c r="A246" s="72" t="s">
        <v>203</v>
      </c>
      <c r="B246" s="69">
        <f t="shared" si="4"/>
        <v>23294</v>
      </c>
      <c r="C246" s="70">
        <v>7935</v>
      </c>
      <c r="D246" s="70">
        <v>15359</v>
      </c>
      <c r="E246" s="70"/>
      <c r="F246" s="70"/>
      <c r="G246" s="70"/>
      <c r="H246" s="70"/>
      <c r="I246" s="86"/>
    </row>
    <row r="247" spans="1:9" ht="30" customHeight="1">
      <c r="A247" s="73" t="s">
        <v>188</v>
      </c>
      <c r="B247" s="69">
        <f t="shared" si="4"/>
        <v>20596</v>
      </c>
      <c r="C247" s="70">
        <v>14686</v>
      </c>
      <c r="D247" s="70">
        <v>5910</v>
      </c>
      <c r="E247" s="70"/>
      <c r="F247" s="70"/>
      <c r="G247" s="70"/>
      <c r="H247" s="70"/>
      <c r="I247" s="70"/>
    </row>
    <row r="248" spans="1:9" ht="30" customHeight="1">
      <c r="A248" s="73" t="s">
        <v>189</v>
      </c>
      <c r="B248" s="69">
        <f t="shared" si="4"/>
        <v>24098</v>
      </c>
      <c r="C248" s="70">
        <v>15493</v>
      </c>
      <c r="D248" s="70">
        <v>8455</v>
      </c>
      <c r="E248" s="70"/>
      <c r="F248" s="70"/>
      <c r="G248" s="70">
        <v>150</v>
      </c>
      <c r="H248" s="70"/>
      <c r="I248" s="70"/>
    </row>
    <row r="249" spans="1:9" ht="30" customHeight="1">
      <c r="A249" s="73" t="s">
        <v>185</v>
      </c>
      <c r="B249" s="69">
        <f t="shared" si="4"/>
        <v>23863</v>
      </c>
      <c r="C249" s="70">
        <v>13324</v>
      </c>
      <c r="D249" s="70">
        <v>10539</v>
      </c>
      <c r="E249" s="70"/>
      <c r="F249" s="70"/>
      <c r="G249" s="70"/>
      <c r="H249" s="70"/>
      <c r="I249" s="70"/>
    </row>
    <row r="250" spans="1:9" ht="30" customHeight="1">
      <c r="A250" s="73" t="s">
        <v>206</v>
      </c>
      <c r="B250" s="69">
        <f t="shared" si="4"/>
        <v>22060</v>
      </c>
      <c r="C250" s="70">
        <v>13580</v>
      </c>
      <c r="D250" s="70">
        <v>8480</v>
      </c>
      <c r="E250" s="70"/>
      <c r="F250" s="70"/>
      <c r="G250" s="70"/>
      <c r="H250" s="70"/>
      <c r="I250" s="70"/>
    </row>
    <row r="251" spans="1:9" ht="30" customHeight="1">
      <c r="A251" s="73" t="s">
        <v>187</v>
      </c>
      <c r="B251" s="69">
        <f t="shared" si="4"/>
        <v>21883</v>
      </c>
      <c r="C251" s="70">
        <v>12658</v>
      </c>
      <c r="D251" s="70">
        <v>9225</v>
      </c>
      <c r="E251" s="70"/>
      <c r="F251" s="70"/>
      <c r="G251" s="70"/>
      <c r="H251" s="70"/>
      <c r="I251" s="70"/>
    </row>
    <row r="252" spans="1:9" ht="30" customHeight="1">
      <c r="A252" s="74" t="s">
        <v>195</v>
      </c>
      <c r="B252" s="69">
        <f t="shared" si="4"/>
        <v>92220</v>
      </c>
      <c r="C252" s="77">
        <v>39665</v>
      </c>
      <c r="D252" s="70">
        <v>52555</v>
      </c>
      <c r="E252" s="79"/>
      <c r="F252" s="79"/>
      <c r="G252" s="79"/>
      <c r="H252" s="79"/>
      <c r="I252" s="79"/>
    </row>
    <row r="253" spans="1:9" ht="30" customHeight="1">
      <c r="A253" s="73" t="s">
        <v>628</v>
      </c>
      <c r="B253" s="69">
        <f t="shared" si="4"/>
        <v>32014</v>
      </c>
      <c r="C253" s="70">
        <v>21673</v>
      </c>
      <c r="D253" s="70">
        <v>10341</v>
      </c>
      <c r="E253" s="70"/>
      <c r="F253" s="70"/>
      <c r="G253" s="70"/>
      <c r="H253" s="70"/>
      <c r="I253" s="70"/>
    </row>
    <row r="254" spans="1:9" ht="30" customHeight="1">
      <c r="A254" s="73" t="s">
        <v>149</v>
      </c>
      <c r="B254" s="69">
        <f t="shared" si="4"/>
        <v>28061</v>
      </c>
      <c r="C254" s="70">
        <v>12622</v>
      </c>
      <c r="D254" s="70">
        <v>15439</v>
      </c>
      <c r="E254" s="70"/>
      <c r="F254" s="70"/>
      <c r="G254" s="70"/>
      <c r="H254" s="70"/>
      <c r="I254" s="70"/>
    </row>
    <row r="255" spans="1:9" ht="15" customHeight="1">
      <c r="A255" s="73" t="s">
        <v>208</v>
      </c>
      <c r="B255" s="69">
        <f t="shared" si="4"/>
        <v>35185</v>
      </c>
      <c r="C255" s="70">
        <v>23489</v>
      </c>
      <c r="D255" s="70">
        <v>11696</v>
      </c>
      <c r="E255" s="70"/>
      <c r="F255" s="70"/>
      <c r="G255" s="70"/>
      <c r="H255" s="70"/>
      <c r="I255" s="70"/>
    </row>
    <row r="256" spans="1:9" ht="30" customHeight="1">
      <c r="A256" s="73" t="s">
        <v>202</v>
      </c>
      <c r="B256" s="69">
        <f t="shared" si="4"/>
        <v>21535</v>
      </c>
      <c r="C256" s="70">
        <v>13224</v>
      </c>
      <c r="D256" s="70">
        <v>8311</v>
      </c>
      <c r="E256" s="70"/>
      <c r="F256" s="70"/>
      <c r="G256" s="70"/>
      <c r="H256" s="70"/>
      <c r="I256" s="70"/>
    </row>
    <row r="257" spans="1:9" ht="15" customHeight="1">
      <c r="A257" s="73" t="s">
        <v>204</v>
      </c>
      <c r="B257" s="69">
        <f t="shared" si="4"/>
        <v>19842</v>
      </c>
      <c r="C257" s="70">
        <v>14015</v>
      </c>
      <c r="D257" s="70">
        <v>5827</v>
      </c>
      <c r="E257" s="70"/>
      <c r="F257" s="70"/>
      <c r="G257" s="70"/>
      <c r="H257" s="70"/>
      <c r="I257" s="70"/>
    </row>
    <row r="258" spans="1:9" ht="30" customHeight="1">
      <c r="A258" s="73" t="s">
        <v>194</v>
      </c>
      <c r="B258" s="69">
        <f t="shared" si="4"/>
        <v>169104</v>
      </c>
      <c r="C258" s="70">
        <v>14104</v>
      </c>
      <c r="D258" s="70">
        <v>13597</v>
      </c>
      <c r="E258" s="70"/>
      <c r="F258" s="70"/>
      <c r="G258" s="70">
        <f>75+141328</f>
        <v>141403</v>
      </c>
      <c r="H258" s="70"/>
      <c r="I258" s="70"/>
    </row>
    <row r="259" spans="1:9" ht="30" customHeight="1">
      <c r="A259" s="71" t="s">
        <v>46</v>
      </c>
      <c r="B259" s="69">
        <f t="shared" si="4"/>
        <v>8000</v>
      </c>
      <c r="C259" s="70"/>
      <c r="D259" s="70"/>
      <c r="E259" s="70"/>
      <c r="F259" s="70"/>
      <c r="G259" s="70"/>
      <c r="H259" s="70">
        <v>8000</v>
      </c>
      <c r="I259" s="70"/>
    </row>
    <row r="260" spans="1:9" ht="30" customHeight="1">
      <c r="A260" s="72" t="s">
        <v>76</v>
      </c>
      <c r="B260" s="69">
        <f t="shared" si="4"/>
        <v>151350</v>
      </c>
      <c r="C260" s="70"/>
      <c r="D260" s="70">
        <v>1350</v>
      </c>
      <c r="E260" s="70"/>
      <c r="F260" s="70"/>
      <c r="G260" s="70"/>
      <c r="H260" s="70"/>
      <c r="I260" s="70">
        <v>150000</v>
      </c>
    </row>
    <row r="261" spans="1:9" ht="45" customHeight="1">
      <c r="A261" s="72" t="s">
        <v>59</v>
      </c>
      <c r="B261" s="69">
        <f t="shared" si="4"/>
        <v>4999</v>
      </c>
      <c r="C261" s="70">
        <v>371</v>
      </c>
      <c r="D261" s="70">
        <v>2628</v>
      </c>
      <c r="E261" s="70"/>
      <c r="F261" s="70"/>
      <c r="G261" s="70">
        <v>2000</v>
      </c>
      <c r="H261" s="70"/>
      <c r="I261" s="70"/>
    </row>
    <row r="262" spans="1:9" ht="30" customHeight="1">
      <c r="A262" s="72" t="s">
        <v>220</v>
      </c>
      <c r="B262" s="69">
        <f t="shared" si="4"/>
        <v>61459</v>
      </c>
      <c r="C262" s="70">
        <v>27699</v>
      </c>
      <c r="D262" s="70">
        <v>31000</v>
      </c>
      <c r="E262" s="70">
        <v>2760</v>
      </c>
      <c r="F262" s="70"/>
      <c r="G262" s="70"/>
      <c r="H262" s="70"/>
      <c r="I262" s="70"/>
    </row>
    <row r="263" spans="1:9" ht="30" customHeight="1">
      <c r="A263" s="73" t="s">
        <v>153</v>
      </c>
      <c r="B263" s="69">
        <f t="shared" si="4"/>
        <v>76655</v>
      </c>
      <c r="C263" s="70">
        <v>43280</v>
      </c>
      <c r="D263" s="70">
        <v>30375</v>
      </c>
      <c r="E263" s="70"/>
      <c r="F263" s="70"/>
      <c r="G263" s="70">
        <v>3000</v>
      </c>
      <c r="H263" s="70"/>
      <c r="I263" s="70"/>
    </row>
    <row r="264" spans="1:9" ht="15" customHeight="1">
      <c r="A264" s="72" t="s">
        <v>243</v>
      </c>
      <c r="B264" s="69">
        <f t="shared" si="4"/>
        <v>2150</v>
      </c>
      <c r="C264" s="70">
        <v>86</v>
      </c>
      <c r="D264" s="70">
        <v>2064</v>
      </c>
      <c r="E264" s="70"/>
      <c r="F264" s="70"/>
      <c r="G264" s="70"/>
      <c r="H264" s="70"/>
      <c r="I264" s="70"/>
    </row>
    <row r="265" spans="1:9" ht="45" customHeight="1">
      <c r="A265" s="72" t="s">
        <v>635</v>
      </c>
      <c r="B265" s="69">
        <f t="shared" si="4"/>
        <v>4415</v>
      </c>
      <c r="C265" s="70">
        <v>2000</v>
      </c>
      <c r="D265" s="70">
        <v>2415</v>
      </c>
      <c r="E265" s="70"/>
      <c r="F265" s="70"/>
      <c r="G265" s="70"/>
      <c r="H265" s="70"/>
      <c r="I265" s="70"/>
    </row>
    <row r="266" spans="1:9" ht="62.1" customHeight="1">
      <c r="A266" s="72" t="s">
        <v>639</v>
      </c>
      <c r="B266" s="69">
        <f t="shared" si="4"/>
        <v>8111</v>
      </c>
      <c r="C266" s="70"/>
      <c r="D266" s="70">
        <v>8111</v>
      </c>
      <c r="E266" s="70"/>
      <c r="F266" s="70"/>
      <c r="G266" s="70"/>
      <c r="H266" s="70"/>
      <c r="I266" s="70"/>
    </row>
    <row r="267" spans="1:9" ht="62.1" customHeight="1">
      <c r="A267" s="72" t="s">
        <v>638</v>
      </c>
      <c r="B267" s="69">
        <f t="shared" si="4"/>
        <v>4370</v>
      </c>
      <c r="C267" s="70"/>
      <c r="D267" s="70">
        <v>4370</v>
      </c>
      <c r="E267" s="70"/>
      <c r="F267" s="70"/>
      <c r="G267" s="70"/>
      <c r="H267" s="70"/>
      <c r="I267" s="70"/>
    </row>
    <row r="268" spans="1:9" ht="45" customHeight="1">
      <c r="A268" s="72" t="s">
        <v>256</v>
      </c>
      <c r="B268" s="69">
        <f t="shared" si="4"/>
        <v>15589</v>
      </c>
      <c r="C268" s="70"/>
      <c r="D268" s="70">
        <v>15589</v>
      </c>
      <c r="E268" s="70"/>
      <c r="F268" s="70"/>
      <c r="G268" s="70"/>
      <c r="H268" s="70"/>
      <c r="I268" s="70"/>
    </row>
    <row r="269" spans="1:9" ht="30" customHeight="1">
      <c r="A269" s="68" t="s">
        <v>242</v>
      </c>
      <c r="B269" s="69">
        <f t="shared" si="5" ref="B269:B313">=SUM(C269:I269)</f>
        <v>17793</v>
      </c>
      <c r="C269" s="70">
        <v>1213</v>
      </c>
      <c r="D269" s="70">
        <v>16580</v>
      </c>
      <c r="E269" s="70"/>
      <c r="F269" s="70"/>
      <c r="G269" s="70"/>
      <c r="H269" s="70"/>
      <c r="I269" s="70"/>
    </row>
    <row r="270" spans="1:9" ht="45" customHeight="1">
      <c r="A270" s="74" t="s">
        <v>596</v>
      </c>
      <c r="B270" s="69">
        <f t="shared" si="5"/>
        <v>33496</v>
      </c>
      <c r="C270" s="79"/>
      <c r="D270" s="70">
        <v>33496</v>
      </c>
      <c r="E270" s="79"/>
      <c r="F270" s="79"/>
      <c r="G270" s="79"/>
      <c r="H270" s="79"/>
      <c r="I270" s="79"/>
    </row>
    <row r="271" spans="1:9" ht="45" customHeight="1">
      <c r="A271" s="72" t="s">
        <v>257</v>
      </c>
      <c r="B271" s="69">
        <f t="shared" si="5"/>
        <v>11450</v>
      </c>
      <c r="C271" s="70">
        <v>3750</v>
      </c>
      <c r="D271" s="70">
        <v>7700</v>
      </c>
      <c r="E271" s="70"/>
      <c r="F271" s="70"/>
      <c r="G271" s="70"/>
      <c r="H271" s="70"/>
      <c r="I271" s="70"/>
    </row>
    <row r="272" spans="1:9" ht="15" customHeight="1">
      <c r="A272" s="72" t="s">
        <v>248</v>
      </c>
      <c r="B272" s="69">
        <f t="shared" si="5"/>
        <v>51760</v>
      </c>
      <c r="C272" s="70"/>
      <c r="D272" s="70"/>
      <c r="E272" s="70"/>
      <c r="F272" s="70"/>
      <c r="G272" s="70">
        <v>51760</v>
      </c>
      <c r="H272" s="70"/>
      <c r="I272" s="70"/>
    </row>
    <row r="273" spans="1:9" ht="30" customHeight="1">
      <c r="A273" s="72" t="s">
        <v>244</v>
      </c>
      <c r="B273" s="69">
        <f t="shared" si="5"/>
        <v>796001</v>
      </c>
      <c r="C273" s="70"/>
      <c r="D273" s="70"/>
      <c r="E273" s="70"/>
      <c r="F273" s="70"/>
      <c r="G273" s="70">
        <v>796001</v>
      </c>
      <c r="H273" s="70"/>
      <c r="I273" s="70"/>
    </row>
    <row r="274" spans="1:9" ht="30" customHeight="1">
      <c r="A274" s="72" t="s">
        <v>247</v>
      </c>
      <c r="B274" s="69">
        <f t="shared" si="5"/>
        <v>380787</v>
      </c>
      <c r="C274" s="70"/>
      <c r="D274" s="70"/>
      <c r="E274" s="70"/>
      <c r="F274" s="70"/>
      <c r="G274" s="70">
        <v>380787</v>
      </c>
      <c r="H274" s="70"/>
      <c r="I274" s="70"/>
    </row>
    <row r="275" spans="1:9" ht="15" customHeight="1">
      <c r="A275" s="71" t="s">
        <v>48</v>
      </c>
      <c r="B275" s="69">
        <f t="shared" si="5"/>
        <v>237717</v>
      </c>
      <c r="C275" s="70">
        <v>218584</v>
      </c>
      <c r="D275" s="70">
        <v>19133</v>
      </c>
      <c r="E275" s="70"/>
      <c r="F275" s="70"/>
      <c r="G275" s="70"/>
      <c r="H275" s="70"/>
      <c r="I275" s="70"/>
    </row>
    <row r="276" spans="1:9" ht="15" customHeight="1">
      <c r="A276" s="71" t="s">
        <v>179</v>
      </c>
      <c r="B276" s="69">
        <f t="shared" si="5"/>
        <v>676779</v>
      </c>
      <c r="C276" s="70">
        <v>598528</v>
      </c>
      <c r="D276" s="70">
        <v>78251</v>
      </c>
      <c r="E276" s="70"/>
      <c r="F276" s="70"/>
      <c r="G276" s="70"/>
      <c r="H276" s="70"/>
      <c r="I276" s="70"/>
    </row>
    <row r="277" spans="1:9" ht="15" customHeight="1">
      <c r="A277" s="71" t="s">
        <v>229</v>
      </c>
      <c r="B277" s="69">
        <f t="shared" si="5"/>
        <v>960073</v>
      </c>
      <c r="C277" s="70"/>
      <c r="D277" s="70"/>
      <c r="E277" s="70"/>
      <c r="F277" s="70"/>
      <c r="G277" s="70"/>
      <c r="H277" s="70">
        <v>960073</v>
      </c>
      <c r="I277" s="70"/>
    </row>
    <row r="278" spans="1:9" ht="15" customHeight="1">
      <c r="A278" s="71" t="s">
        <v>173</v>
      </c>
      <c r="B278" s="69">
        <f t="shared" si="5"/>
        <v>19690</v>
      </c>
      <c r="C278" s="70"/>
      <c r="D278" s="70"/>
      <c r="E278" s="70"/>
      <c r="F278" s="70"/>
      <c r="G278" s="70"/>
      <c r="H278" s="70">
        <v>19690</v>
      </c>
      <c r="I278" s="70"/>
    </row>
    <row r="279" spans="1:9" ht="15" customHeight="1">
      <c r="A279" s="71" t="s">
        <v>49</v>
      </c>
      <c r="B279" s="69">
        <f t="shared" si="5"/>
        <v>21813</v>
      </c>
      <c r="C279" s="70"/>
      <c r="D279" s="70">
        <v>21813</v>
      </c>
      <c r="E279" s="70"/>
      <c r="F279" s="70"/>
      <c r="G279" s="70"/>
      <c r="H279" s="70"/>
      <c r="I279" s="70"/>
    </row>
    <row r="280" spans="1:9" ht="15" customHeight="1">
      <c r="A280" s="71" t="s">
        <v>61</v>
      </c>
      <c r="B280" s="69">
        <f t="shared" si="5"/>
        <v>146740</v>
      </c>
      <c r="C280" s="70">
        <v>45671</v>
      </c>
      <c r="D280" s="70">
        <v>5509</v>
      </c>
      <c r="E280" s="70"/>
      <c r="F280" s="70"/>
      <c r="G280" s="70">
        <v>680</v>
      </c>
      <c r="H280" s="70">
        <v>94880</v>
      </c>
      <c r="I280" s="70"/>
    </row>
    <row r="281" spans="1:9" ht="15" customHeight="1">
      <c r="A281" s="71" t="s">
        <v>47</v>
      </c>
      <c r="B281" s="69">
        <f t="shared" si="5"/>
        <v>1619844</v>
      </c>
      <c r="C281" s="70">
        <v>934580</v>
      </c>
      <c r="D281" s="70">
        <v>683664</v>
      </c>
      <c r="E281" s="70"/>
      <c r="F281" s="70"/>
      <c r="G281" s="70"/>
      <c r="H281" s="70">
        <v>1600</v>
      </c>
      <c r="I281" s="70"/>
    </row>
    <row r="282" spans="1:9" ht="15" customHeight="1">
      <c r="A282" s="71" t="s">
        <v>121</v>
      </c>
      <c r="B282" s="69">
        <f t="shared" si="5"/>
        <v>299672</v>
      </c>
      <c r="C282" s="70">
        <v>193546</v>
      </c>
      <c r="D282" s="70">
        <v>106126</v>
      </c>
      <c r="E282" s="70"/>
      <c r="F282" s="70"/>
      <c r="G282" s="70"/>
      <c r="H282" s="70"/>
      <c r="I282" s="70"/>
    </row>
    <row r="283" spans="1:9" ht="15" customHeight="1">
      <c r="A283" s="68" t="s">
        <v>123</v>
      </c>
      <c r="B283" s="69">
        <f t="shared" si="5"/>
        <v>189478</v>
      </c>
      <c r="C283" s="70">
        <v>128124</v>
      </c>
      <c r="D283" s="70">
        <v>60554</v>
      </c>
      <c r="E283" s="70"/>
      <c r="F283" s="70"/>
      <c r="G283" s="70"/>
      <c r="H283" s="70">
        <v>800</v>
      </c>
      <c r="I283" s="70"/>
    </row>
    <row r="284" spans="1:9" ht="15" customHeight="1">
      <c r="A284" s="68" t="s">
        <v>122</v>
      </c>
      <c r="B284" s="69">
        <f t="shared" si="5"/>
        <v>270642</v>
      </c>
      <c r="C284" s="70">
        <v>192908</v>
      </c>
      <c r="D284" s="70">
        <v>76694</v>
      </c>
      <c r="E284" s="70"/>
      <c r="F284" s="70"/>
      <c r="G284" s="70"/>
      <c r="H284" s="70">
        <v>1040</v>
      </c>
      <c r="I284" s="70"/>
    </row>
    <row r="285" spans="1:9" ht="30" customHeight="1">
      <c r="A285" s="72" t="s">
        <v>79</v>
      </c>
      <c r="B285" s="69">
        <f t="shared" si="5"/>
        <v>311921</v>
      </c>
      <c r="C285" s="70">
        <v>225695</v>
      </c>
      <c r="D285" s="70">
        <v>78826</v>
      </c>
      <c r="E285" s="70"/>
      <c r="F285" s="70"/>
      <c r="G285" s="70"/>
      <c r="H285" s="70">
        <v>7400</v>
      </c>
      <c r="I285" s="70"/>
    </row>
    <row r="286" spans="1:9" ht="30" customHeight="1">
      <c r="A286" s="74" t="s">
        <v>180</v>
      </c>
      <c r="B286" s="69">
        <f t="shared" si="5"/>
        <v>81177</v>
      </c>
      <c r="C286" s="87">
        <v>69999</v>
      </c>
      <c r="D286" s="70">
        <v>11178</v>
      </c>
      <c r="E286" s="88"/>
      <c r="F286" s="88"/>
      <c r="G286" s="88"/>
      <c r="H286" s="88"/>
      <c r="I286" s="88"/>
    </row>
    <row r="287" spans="1:9" ht="30" customHeight="1">
      <c r="A287" s="73" t="s">
        <v>181</v>
      </c>
      <c r="B287" s="69">
        <f t="shared" si="5"/>
        <v>132055</v>
      </c>
      <c r="C287" s="70">
        <v>105188</v>
      </c>
      <c r="D287" s="70">
        <v>26867</v>
      </c>
      <c r="E287" s="70"/>
      <c r="F287" s="70"/>
      <c r="G287" s="70"/>
      <c r="H287" s="70"/>
      <c r="I287" s="70"/>
    </row>
    <row r="288" spans="1:9" ht="30" customHeight="1">
      <c r="A288" s="89" t="s">
        <v>161</v>
      </c>
      <c r="B288" s="69">
        <f t="shared" si="5"/>
        <v>5535</v>
      </c>
      <c r="C288" s="90">
        <v>4790</v>
      </c>
      <c r="D288" s="70">
        <v>745</v>
      </c>
      <c r="E288" s="91"/>
      <c r="F288" s="91"/>
      <c r="G288" s="91"/>
      <c r="H288" s="91"/>
      <c r="I288" s="91"/>
    </row>
    <row r="289" spans="1:9" ht="30" customHeight="1">
      <c r="A289" s="92" t="s">
        <v>595</v>
      </c>
      <c r="B289" s="69">
        <f t="shared" si="5"/>
        <v>620</v>
      </c>
      <c r="C289" s="83"/>
      <c r="D289" s="70">
        <v>620</v>
      </c>
      <c r="E289" s="84"/>
      <c r="F289" s="84"/>
      <c r="G289" s="84"/>
      <c r="H289" s="84"/>
      <c r="I289" s="84"/>
    </row>
    <row r="290" spans="1:9" ht="30" customHeight="1">
      <c r="A290" s="71" t="s">
        <v>50</v>
      </c>
      <c r="B290" s="69">
        <f t="shared" si="5"/>
        <v>484637</v>
      </c>
      <c r="C290" s="70">
        <v>433127</v>
      </c>
      <c r="D290" s="70">
        <v>49510</v>
      </c>
      <c r="E290" s="70"/>
      <c r="F290" s="70"/>
      <c r="G290" s="70">
        <v>2000</v>
      </c>
      <c r="H290" s="70"/>
      <c r="I290" s="70"/>
    </row>
    <row r="291" spans="1:9" ht="30" customHeight="1">
      <c r="A291" s="72" t="s">
        <v>56</v>
      </c>
      <c r="B291" s="69">
        <f t="shared" si="5"/>
        <v>462678</v>
      </c>
      <c r="C291" s="70">
        <v>128165</v>
      </c>
      <c r="D291" s="70">
        <v>7600</v>
      </c>
      <c r="E291" s="70"/>
      <c r="F291" s="70"/>
      <c r="G291" s="70">
        <v>37383</v>
      </c>
      <c r="H291" s="70">
        <v>289530</v>
      </c>
      <c r="I291" s="70"/>
    </row>
    <row r="292" spans="1:9" ht="30" customHeight="1">
      <c r="A292" s="71" t="s">
        <v>55</v>
      </c>
      <c r="B292" s="69">
        <f t="shared" si="5"/>
        <v>58312</v>
      </c>
      <c r="C292" s="70">
        <v>35180</v>
      </c>
      <c r="D292" s="70">
        <v>21299</v>
      </c>
      <c r="E292" s="70"/>
      <c r="F292" s="70"/>
      <c r="G292" s="70">
        <v>1833</v>
      </c>
      <c r="H292" s="70"/>
      <c r="I292" s="70"/>
    </row>
    <row r="293" spans="1:9" ht="32.1" customHeight="1">
      <c r="A293" s="72" t="s">
        <v>222</v>
      </c>
      <c r="B293" s="69">
        <f t="shared" si="5"/>
        <v>1450</v>
      </c>
      <c r="C293" s="70"/>
      <c r="D293" s="70"/>
      <c r="E293" s="70"/>
      <c r="F293" s="70">
        <v>1450</v>
      </c>
      <c r="G293" s="70"/>
      <c r="H293" s="70"/>
      <c r="I293" s="70"/>
    </row>
    <row r="294" spans="1:9" ht="15" customHeight="1">
      <c r="A294" s="72" t="s">
        <v>223</v>
      </c>
      <c r="B294" s="69">
        <f t="shared" si="5"/>
        <v>1200</v>
      </c>
      <c r="C294" s="70"/>
      <c r="D294" s="70"/>
      <c r="E294" s="70"/>
      <c r="F294" s="70">
        <v>1200</v>
      </c>
      <c r="G294" s="70"/>
      <c r="H294" s="70"/>
      <c r="I294" s="70"/>
    </row>
    <row r="295" spans="1:9" ht="15" customHeight="1">
      <c r="A295" s="72" t="s">
        <v>224</v>
      </c>
      <c r="B295" s="69">
        <f t="shared" si="5"/>
        <v>2000</v>
      </c>
      <c r="C295" s="70"/>
      <c r="D295" s="70"/>
      <c r="E295" s="70"/>
      <c r="F295" s="70">
        <v>2000</v>
      </c>
      <c r="G295" s="70"/>
      <c r="H295" s="70"/>
      <c r="I295" s="70"/>
    </row>
    <row r="296" spans="1:9" ht="30" customHeight="1">
      <c r="A296" s="72" t="s">
        <v>232</v>
      </c>
      <c r="B296" s="69">
        <f t="shared" si="5"/>
        <v>516949</v>
      </c>
      <c r="C296" s="70"/>
      <c r="D296" s="70"/>
      <c r="E296" s="70"/>
      <c r="F296" s="70"/>
      <c r="G296" s="70">
        <v>516949</v>
      </c>
      <c r="H296" s="70"/>
      <c r="I296" s="70"/>
    </row>
    <row r="297" spans="1:9" ht="30" customHeight="1">
      <c r="A297" s="72" t="s">
        <v>589</v>
      </c>
      <c r="B297" s="69">
        <f t="shared" si="5"/>
        <v>20812</v>
      </c>
      <c r="C297" s="70"/>
      <c r="D297" s="70"/>
      <c r="E297" s="70"/>
      <c r="F297" s="70"/>
      <c r="G297" s="70">
        <v>20812</v>
      </c>
      <c r="H297" s="70"/>
      <c r="I297" s="70"/>
    </row>
    <row r="298" spans="1:9" ht="30" customHeight="1">
      <c r="A298" s="72" t="s">
        <v>625</v>
      </c>
      <c r="B298" s="69">
        <f t="shared" si="5"/>
        <v>10742</v>
      </c>
      <c r="C298" s="70"/>
      <c r="D298" s="70"/>
      <c r="E298" s="70"/>
      <c r="F298" s="70"/>
      <c r="G298" s="70">
        <v>10742</v>
      </c>
      <c r="H298" s="70"/>
      <c r="I298" s="70"/>
    </row>
    <row r="299" spans="1:9" ht="15" customHeight="1">
      <c r="A299" s="72" t="s">
        <v>622</v>
      </c>
      <c r="B299" s="69">
        <f t="shared" si="5"/>
        <v>138837</v>
      </c>
      <c r="C299" s="70"/>
      <c r="D299" s="70"/>
      <c r="E299" s="70"/>
      <c r="F299" s="70"/>
      <c r="G299" s="70">
        <v>138837</v>
      </c>
      <c r="H299" s="70"/>
      <c r="I299" s="70"/>
    </row>
    <row r="300" spans="1:9" ht="15" customHeight="1">
      <c r="A300" s="72" t="s">
        <v>647</v>
      </c>
      <c r="B300" s="69">
        <f t="shared" si="5"/>
        <v>257344</v>
      </c>
      <c r="C300" s="70"/>
      <c r="D300" s="70"/>
      <c r="E300" s="70"/>
      <c r="F300" s="70"/>
      <c r="G300" s="70">
        <v>257344</v>
      </c>
      <c r="H300" s="70"/>
      <c r="I300" s="70"/>
    </row>
    <row r="301" spans="1:9" ht="30" customHeight="1">
      <c r="A301" s="72" t="s">
        <v>664</v>
      </c>
      <c r="B301" s="69">
        <f t="shared" si="5"/>
        <v>12510</v>
      </c>
      <c r="C301" s="70">
        <v>800</v>
      </c>
      <c r="D301" s="70">
        <v>11710</v>
      </c>
      <c r="E301" s="70"/>
      <c r="F301" s="70"/>
      <c r="G301" s="70"/>
      <c r="H301" s="70"/>
      <c r="I301" s="70"/>
    </row>
    <row r="302" spans="1:9" ht="30" customHeight="1">
      <c r="A302" s="72" t="s">
        <v>167</v>
      </c>
      <c r="B302" s="69">
        <f t="shared" si="5"/>
        <v>604497</v>
      </c>
      <c r="C302" s="70"/>
      <c r="D302" s="70"/>
      <c r="E302" s="70"/>
      <c r="F302" s="70"/>
      <c r="G302" s="70">
        <v>604497</v>
      </c>
      <c r="H302" s="70"/>
      <c r="I302" s="70"/>
    </row>
    <row r="303" spans="1:9" ht="45" customHeight="1">
      <c r="A303" s="72" t="s">
        <v>209</v>
      </c>
      <c r="B303" s="69">
        <f t="shared" si="5"/>
        <v>43230</v>
      </c>
      <c r="C303" s="70"/>
      <c r="D303" s="70"/>
      <c r="E303" s="70"/>
      <c r="F303" s="70"/>
      <c r="G303" s="70">
        <v>43230</v>
      </c>
      <c r="H303" s="70"/>
      <c r="I303" s="70"/>
    </row>
    <row r="304" spans="1:9" ht="45" customHeight="1">
      <c r="A304" s="72" t="s">
        <v>649</v>
      </c>
      <c r="B304" s="69">
        <f t="shared" si="5"/>
        <v>14000</v>
      </c>
      <c r="C304" s="70"/>
      <c r="D304" s="70">
        <v>14000</v>
      </c>
      <c r="E304" s="70"/>
      <c r="F304" s="70"/>
      <c r="G304" s="70"/>
      <c r="H304" s="70"/>
      <c r="I304" s="70"/>
    </row>
    <row r="305" spans="1:9" ht="35.25" customHeight="1">
      <c r="A305" s="72" t="s">
        <v>665</v>
      </c>
      <c r="B305" s="69">
        <f t="shared" si="5"/>
        <v>800</v>
      </c>
      <c r="C305" s="70">
        <v>800</v>
      </c>
      <c r="D305" s="70"/>
      <c r="E305" s="70"/>
      <c r="F305" s="70"/>
      <c r="G305" s="70"/>
      <c r="H305" s="70"/>
      <c r="I305" s="70"/>
    </row>
    <row r="306" spans="1:9" ht="35.25" customHeight="1">
      <c r="A306" s="72" t="s">
        <v>666</v>
      </c>
      <c r="B306" s="69">
        <f t="shared" si="5"/>
        <v>2000</v>
      </c>
      <c r="C306" s="70"/>
      <c r="D306" s="70"/>
      <c r="E306" s="70"/>
      <c r="F306" s="70"/>
      <c r="G306" s="70">
        <v>2000</v>
      </c>
      <c r="H306" s="70"/>
      <c r="I306" s="70"/>
    </row>
    <row r="307" spans="1:9" ht="30" customHeight="1">
      <c r="A307" s="92" t="s">
        <v>599</v>
      </c>
      <c r="B307" s="69">
        <f t="shared" si="5"/>
        <v>87736</v>
      </c>
      <c r="C307" s="70">
        <v>5096</v>
      </c>
      <c r="D307" s="70">
        <v>80258</v>
      </c>
      <c r="E307" s="70"/>
      <c r="F307" s="70"/>
      <c r="G307" s="70"/>
      <c r="H307" s="70">
        <v>2269</v>
      </c>
      <c r="I307" s="70">
        <v>113</v>
      </c>
    </row>
    <row r="308" spans="1:9" ht="15" customHeight="1">
      <c r="A308" s="72" t="s">
        <v>178</v>
      </c>
      <c r="B308" s="69">
        <f t="shared" si="5"/>
        <v>100000</v>
      </c>
      <c r="C308" s="70"/>
      <c r="D308" s="70"/>
      <c r="E308" s="70"/>
      <c r="F308" s="70"/>
      <c r="G308" s="70">
        <v>100000</v>
      </c>
      <c r="H308" s="70"/>
      <c r="I308" s="70"/>
    </row>
    <row r="309" spans="1:9" ht="30" customHeight="1">
      <c r="A309" s="72" t="s">
        <v>592</v>
      </c>
      <c r="B309" s="69">
        <f t="shared" si="5"/>
        <v>5000</v>
      </c>
      <c r="C309" s="70"/>
      <c r="D309" s="70">
        <v>5000</v>
      </c>
      <c r="E309" s="70"/>
      <c r="F309" s="70"/>
      <c r="G309" s="70"/>
      <c r="H309" s="70"/>
      <c r="I309" s="70"/>
    </row>
    <row r="310" spans="1:9" ht="30" customHeight="1">
      <c r="A310" s="72" t="s">
        <v>597</v>
      </c>
      <c r="B310" s="69">
        <f t="shared" si="5"/>
        <v>48382</v>
      </c>
      <c r="C310" s="70">
        <v>1609</v>
      </c>
      <c r="D310" s="70">
        <v>1840</v>
      </c>
      <c r="E310" s="70"/>
      <c r="F310" s="70"/>
      <c r="G310" s="70">
        <v>1107</v>
      </c>
      <c r="H310" s="70">
        <v>8172</v>
      </c>
      <c r="I310" s="70">
        <v>35654</v>
      </c>
    </row>
    <row r="311" spans="1:9" ht="30" customHeight="1">
      <c r="A311" s="72" t="s">
        <v>230</v>
      </c>
      <c r="B311" s="69">
        <f t="shared" si="5"/>
        <v>500772</v>
      </c>
      <c r="C311" s="70"/>
      <c r="D311" s="70"/>
      <c r="E311" s="70"/>
      <c r="F311" s="70"/>
      <c r="G311" s="70">
        <v>500772</v>
      </c>
      <c r="H311" s="70"/>
      <c r="I311" s="70"/>
    </row>
    <row r="312" spans="1:9" ht="30" customHeight="1">
      <c r="A312" s="72" t="s">
        <v>231</v>
      </c>
      <c r="B312" s="69">
        <f t="shared" si="5"/>
        <v>353157</v>
      </c>
      <c r="C312" s="70"/>
      <c r="D312" s="70"/>
      <c r="E312" s="70"/>
      <c r="F312" s="70"/>
      <c r="G312" s="70">
        <v>353157</v>
      </c>
      <c r="H312" s="70"/>
      <c r="I312" s="70"/>
    </row>
    <row r="313" spans="1:9" ht="44.25" customHeight="1">
      <c r="A313" s="72" t="s">
        <v>633</v>
      </c>
      <c r="B313" s="69">
        <f t="shared" si="5"/>
        <v>733744</v>
      </c>
      <c r="C313" s="70"/>
      <c r="D313" s="70"/>
      <c r="E313" s="70"/>
      <c r="F313" s="70"/>
      <c r="G313" s="70">
        <v>733744</v>
      </c>
      <c r="H313" s="70"/>
      <c r="I313" s="70"/>
    </row>
    <row r="314" spans="1:9" ht="15" customHeight="1">
      <c r="A314" s="93" t="s">
        <v>51</v>
      </c>
      <c r="B314" s="94">
        <f t="shared" si="6" ref="B314:I314">=SUM(B12:B313)-B119</f>
        <v>36798522</v>
      </c>
      <c r="C314" s="94">
        <f t="shared" si="6"/>
        <v>20147637</v>
      </c>
      <c r="D314" s="94">
        <f t="shared" si="6"/>
        <v>8578659</v>
      </c>
      <c r="E314" s="94">
        <f t="shared" si="6"/>
        <v>61169</v>
      </c>
      <c r="F314" s="94">
        <f t="shared" si="6"/>
        <v>422480</v>
      </c>
      <c r="G314" s="94">
        <f t="shared" si="6"/>
        <v>5760201</v>
      </c>
      <c r="H314" s="94">
        <f t="shared" si="6"/>
        <v>1620864</v>
      </c>
      <c r="I314" s="94">
        <f t="shared" si="6"/>
        <v>207512</v>
      </c>
    </row>
    <row r="315" spans="1:9" ht="15" customHeight="1">
      <c r="A315" s="95"/>
      <c r="B315" s="95"/>
      <c r="C315" s="96"/>
      <c r="D315" s="96"/>
      <c r="E315" s="96"/>
      <c r="F315" s="96"/>
      <c r="G315" s="96"/>
      <c r="H315" s="96"/>
      <c r="I315" s="96"/>
    </row>
    <row r="316" spans="1:9" ht="15" customHeight="1">
      <c r="A316" s="95"/>
      <c r="B316" s="97"/>
      <c r="C316" s="96"/>
      <c r="D316" s="96"/>
      <c r="E316" s="96"/>
      <c r="F316" s="96"/>
      <c r="G316" s="96"/>
      <c r="H316" s="96"/>
      <c r="I316" s="96"/>
    </row>
    <row r="317" spans="2:2" s="6" customFormat="1" ht="15" customHeight="1">
      <c r="B317" s="6" t="s">
        <v>163</v>
      </c>
    </row>
    <row r="318" spans="1:9" ht="18.75">
      <c r="A318" s="98"/>
      <c r="B318" s="98"/>
      <c r="D318" s="98"/>
      <c r="E318" s="98"/>
      <c r="F318" s="98"/>
      <c r="G318" s="98"/>
      <c r="H318" s="98"/>
      <c r="I318" s="98"/>
    </row>
    <row r="319" spans="3:9" ht="15">
      <c r="C319" s="99"/>
      <c r="D319" s="99"/>
      <c r="E319" s="99"/>
      <c r="F319" s="99"/>
      <c r="G319" s="99"/>
      <c r="H319" s="99"/>
      <c r="I319" s="99"/>
    </row>
    <row r="320" spans="9:9" ht="15">
      <c r="I320" s="99"/>
    </row>
    <row r="325" spans="5:5" ht="15">
      <c r="E325" s="99"/>
    </row>
  </sheetData>
  <mergeCells count="4">
    <mergeCell ref="A7:I7"/>
    <mergeCell ref="C9:I9"/>
    <mergeCell ref="A9:A11"/>
    <mergeCell ref="B9:B11"/>
  </mergeCells>
  <printOptions horizontalCentered="1"/>
  <pageMargins left="0.7086614173228347" right="0.7086614173228347" top="0.7480314960629921" bottom="0.7480314960629921" header="0.31496062992125984" footer="0.31496062992125984"/>
  <pageSetup fitToHeight="0" orientation="landscape" paperSize="8" r:id="rId3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2023-03-27T07:06:23Z</cp:lastPrinted>
  <dcterms:created xsi:type="dcterms:W3CDTF">2014-01-31T18:56:56Z</dcterms:created>
  <dcterms:modified xsi:type="dcterms:W3CDTF">2023-03-27T07:06:39Z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