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3"/>
  </bookViews>
  <sheets>
    <sheet name="1.pielikums" sheetId="4" r:id="rId3"/>
    <sheet name="2.pielikums" sheetId="3" r:id="rId4"/>
    <sheet name="3.pielikums" sheetId="2" r:id="rId5"/>
    <sheet name="4.pielikums" sheetId="1" r:id="rId6"/>
  </sheets>
  <definedNames>
    <definedName name="_xlnm._FilterDatabase" localSheetId="3" hidden="1">'4.pielikums'!$A$15:$P$318</definedName>
    <definedName name="_xlnm.Print_Area" localSheetId="3">'4.pielikums'!$A$1:$P$322</definedName>
  </definedNames>
  <calcPr calcId="191029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<sst xmlns="http://schemas.openxmlformats.org/spreadsheetml/2006/main" count="1342" uniqueCount="850">
  <si>
    <t>Iestādes</t>
  </si>
  <si>
    <t>Balvu novada administrācija</t>
  </si>
  <si>
    <t>Deputātu darba samaksa</t>
  </si>
  <si>
    <t>Balvu pagasta pārvalde</t>
  </si>
  <si>
    <t>Bērzkalnes pagasta pārvalde</t>
  </si>
  <si>
    <t>Bērzpils pagasta pārvalde</t>
  </si>
  <si>
    <t>Briežuciema pagasta pārvalde</t>
  </si>
  <si>
    <t>Krišjāņu pagasta pārvalde</t>
  </si>
  <si>
    <t>Kubulu pagasta pārvalde</t>
  </si>
  <si>
    <t>Lazdulejas pagasta pārvalde</t>
  </si>
  <si>
    <t>Tilžas pagasta pārvalde</t>
  </si>
  <si>
    <t>Vectilžas pagasta pārvalde</t>
  </si>
  <si>
    <t>Vīksnas pagasta pārvalde</t>
  </si>
  <si>
    <t>Izdevumi neparedzētiem gadījumiem</t>
  </si>
  <si>
    <t>Biedru maksa</t>
  </si>
  <si>
    <t>Dzimtsarakstu nodaļa</t>
  </si>
  <si>
    <t>Pašvaldības policija</t>
  </si>
  <si>
    <t>Būvvalde</t>
  </si>
  <si>
    <t>Pārējā ekonomiskā darbība (PVN)</t>
  </si>
  <si>
    <t>Ielu apgaismojums Balvu pilsētā</t>
  </si>
  <si>
    <t>Balvu pagasta komunālā saimniecība</t>
  </si>
  <si>
    <t>Bērzpils pagasta komunālā saimniecība</t>
  </si>
  <si>
    <t>Briežuciema pagasta komunālā saimniecība</t>
  </si>
  <si>
    <t>Krišjāņu pagasta komunālā saimniecība</t>
  </si>
  <si>
    <t>Kubulu pagasta komunālā saimniecība</t>
  </si>
  <si>
    <t>Lazdulejas pagasta komunālā saimniecība</t>
  </si>
  <si>
    <t>Tilžas pagasta komunālā saimniecība</t>
  </si>
  <si>
    <t>Vectilžas pagasta komunālā saimniecība</t>
  </si>
  <si>
    <t>Vīksnas pagasta komunālā saimniecība</t>
  </si>
  <si>
    <t>Pašvaldības aģentūra SAN-TEX</t>
  </si>
  <si>
    <t>Briežuciema FVP</t>
  </si>
  <si>
    <t>Krišjānu FVP</t>
  </si>
  <si>
    <t>Kubulu VFP</t>
  </si>
  <si>
    <t>Lazdulejas VFP</t>
  </si>
  <si>
    <t>Vectilžas VFP</t>
  </si>
  <si>
    <t>Vīksnas VFP</t>
  </si>
  <si>
    <t>Balvu Centrālā bibliotēka</t>
  </si>
  <si>
    <t>KAC pasākumi</t>
  </si>
  <si>
    <t>Briežuciema Tautas nams</t>
  </si>
  <si>
    <t>Krišjāņu Tautas nams</t>
  </si>
  <si>
    <t>Kubulu kultūras nams</t>
  </si>
  <si>
    <t>Vīksnas Tautas nams</t>
  </si>
  <si>
    <t>Pārējie pasākumi, sabiedriskās attiecības</t>
  </si>
  <si>
    <t>PII Pīlādzītis</t>
  </si>
  <si>
    <t>PII Sienāzītis</t>
  </si>
  <si>
    <t>Bērzkalnes PII</t>
  </si>
  <si>
    <t>PII Ieviņa</t>
  </si>
  <si>
    <t>Stacijas pamatskola</t>
  </si>
  <si>
    <t>Balvu Valsts ģimnāzija</t>
  </si>
  <si>
    <t>Balvu mūzikas skola</t>
  </si>
  <si>
    <t>Balvu mākslas skola</t>
  </si>
  <si>
    <t>Balvu sporta skola</t>
  </si>
  <si>
    <t>Transporta izdevumu kompensācija skolēniem</t>
  </si>
  <si>
    <t>Pansionāts "Balvi"</t>
  </si>
  <si>
    <t>Bāriņtiesa</t>
  </si>
  <si>
    <t>Sociālo māju uzturēšana</t>
  </si>
  <si>
    <t>Asisitenta pakalpojumi personām ar invaliditāti</t>
  </si>
  <si>
    <t>KOPĀ</t>
  </si>
  <si>
    <t>Balvu sporta skolas Peldbaseins</t>
  </si>
  <si>
    <t>Balvu Profesionālā un vispārizglītojošā vidusskola</t>
  </si>
  <si>
    <t>Atskurbtuves uzturēšana</t>
  </si>
  <si>
    <t>Profesionālā sociālā darba attīstība pašvaldībās</t>
  </si>
  <si>
    <t>Deinstitucionālizācijas pasākumu īstenošana Latgales reģionā</t>
  </si>
  <si>
    <t>Latgales speciālās ekonomiskās zonas atbalsts</t>
  </si>
  <si>
    <t>Projekts "Karjeras atbalsts vispārējās un profesionālās izglītības iestādēs"</t>
  </si>
  <si>
    <t>Ziemeļlatgales biznesa un tūrisma centrs</t>
  </si>
  <si>
    <t>Sociālie pakalpojumi</t>
  </si>
  <si>
    <t>Programma "Latvijas skolas soma"</t>
  </si>
  <si>
    <t>Balvu pilsētas autoceļu (ielu) uzturēšana</t>
  </si>
  <si>
    <t>Balvu pagasta autoceļu (ielu) uzturēšana</t>
  </si>
  <si>
    <t>Bērzkalnes pagasta autoceļu (ielu) uzturēšana</t>
  </si>
  <si>
    <t>Bērzpils pagasta autoceļu (ielu) uzturēšana</t>
  </si>
  <si>
    <t>Briežuciema pagasta autoceļu (ielu) uzturēšana</t>
  </si>
  <si>
    <t>Krišjāņu pagasta autoceļu (ielu) uzturēšana</t>
  </si>
  <si>
    <t>Kubulu pagasta autoceļu (ielu) uzturēšana</t>
  </si>
  <si>
    <t>Lazdulejas pagasta autoceļu (ielu) uzturēšana</t>
  </si>
  <si>
    <t>Tilžas pagasta autoceļu (ielu) uzturēšana</t>
  </si>
  <si>
    <t>Vectilžas pagasta autoceļu (ielu) uzturēšana</t>
  </si>
  <si>
    <t>Vīksnas pagasta autoceļu (ielu) uzturēšana</t>
  </si>
  <si>
    <t>Vides piesārņojuma novēršana un samazināšana (dabas resursu nodoklis)</t>
  </si>
  <si>
    <t>Balvu Kultūras un atpūtas centrs</t>
  </si>
  <si>
    <t>Norēķini ar citām pašvaldībām par izglītības pakalpojumiem</t>
  </si>
  <si>
    <t>Balvu Novada muzejs</t>
  </si>
  <si>
    <t>Balvu sākumskola</t>
  </si>
  <si>
    <t>Daudzfunkcionālais sociālo pakalpojumu centrs</t>
  </si>
  <si>
    <t>Sociālā rakstura maksājumi un kompensācijas</t>
  </si>
  <si>
    <t>Transferti</t>
  </si>
  <si>
    <t xml:space="preserve"> Atlīdzība</t>
  </si>
  <si>
    <t>Preces un pakalpojumi</t>
  </si>
  <si>
    <t>Subsīdijas un dotācijas</t>
  </si>
  <si>
    <t>Procentu maksājumi</t>
  </si>
  <si>
    <t>Pamatkapitāla veidošana</t>
  </si>
  <si>
    <t>Izdevumi pa ekonomiskās klasifikācijas kodiem (EUR)</t>
  </si>
  <si>
    <t>Viļakas pilsētas pārvalde</t>
  </si>
  <si>
    <t>Valsts un pašvaldības vienotais klientu apkalpošanas centrs</t>
  </si>
  <si>
    <t>Baltinavas pagasta pārvalde</t>
  </si>
  <si>
    <t>Kupravas pagasta pārvalde</t>
  </si>
  <si>
    <t>Medņevas pagasta pārvalde</t>
  </si>
  <si>
    <t>Susāju pagasta pārvalde</t>
  </si>
  <si>
    <t>Šķilbēnu pagasta pārvalde</t>
  </si>
  <si>
    <t>Vecumu pagasta pārvalde</t>
  </si>
  <si>
    <t>Žīguru pagasta pārvalde</t>
  </si>
  <si>
    <t>Susāju pārvaldes teritorijas apsaimniekošana</t>
  </si>
  <si>
    <t>Medņevas komunālā saimniecība</t>
  </si>
  <si>
    <t>Viļakas pilsētas komunālā saimniecība - apkure</t>
  </si>
  <si>
    <t>Viļakas pilsētas komunālā saimniecība-ūdens</t>
  </si>
  <si>
    <t>Žīguru komunālā saimniecība - apkure</t>
  </si>
  <si>
    <t>Medņevas pagasta teritorijas apsaimniekošana</t>
  </si>
  <si>
    <t>Medņevas komunālā saimniecība - ūdens</t>
  </si>
  <si>
    <t>Šķilbēnu pagasta teritorijas apsaimniekošana</t>
  </si>
  <si>
    <t>Upītes komunālā saimniecība - ūdens</t>
  </si>
  <si>
    <t xml:space="preserve"> Rekavas komunālā saimniecība - apkure</t>
  </si>
  <si>
    <t>Rekavas komunālā saimniecība - ūdens</t>
  </si>
  <si>
    <t>Šķilbēnu komunālā saimniecība - ūdens</t>
  </si>
  <si>
    <t>Kupravas komunālā saimniecība - apkure</t>
  </si>
  <si>
    <t>Kupravas komunālā saimniecība - ūdens</t>
  </si>
  <si>
    <t>Vecumu komunālā saimniecība - apkure</t>
  </si>
  <si>
    <t xml:space="preserve"> Vecumu pagasta teritorijas apsaimniekošana</t>
  </si>
  <si>
    <t>Vecumu komunālā saimniecība - ūdens</t>
  </si>
  <si>
    <t>Žīguru pagasta teritorijas apsaimniekošana</t>
  </si>
  <si>
    <t xml:space="preserve"> Žīguru komunālā saimniecība - ūdens</t>
  </si>
  <si>
    <t>Kupravas pārvaldes pašvaldības dzīvokļu uzturēšana</t>
  </si>
  <si>
    <t>Viļakas pilsētas pašvaldības dzīvokļu uzturēšana</t>
  </si>
  <si>
    <t>Kupravas komunālā saimniecība</t>
  </si>
  <si>
    <t>Žīguru pārvaldes pašvaldības  dzīvokļu uzturēšana</t>
  </si>
  <si>
    <t>Viļakas pilsētas labiekārtošana</t>
  </si>
  <si>
    <t>Šķilbēnu komunālā saimniecība</t>
  </si>
  <si>
    <t>Vecumu pārvaldes pašvaldības dzīvokļu uzturēšana</t>
  </si>
  <si>
    <t>Upītes FVP</t>
  </si>
  <si>
    <t>Rugāju sociālās aprūpes centrs</t>
  </si>
  <si>
    <t>Viļakas sociālās aprūpes centrs</t>
  </si>
  <si>
    <t>Šķilbēnu sociālās aprūpes māja</t>
  </si>
  <si>
    <t>Lazdukalna saieta nams</t>
  </si>
  <si>
    <t>Skujetnieku FVP</t>
  </si>
  <si>
    <t>Kultūrvēsturiskā lauku sēta "Vēršukalns"</t>
  </si>
  <si>
    <t>Viļakas muzejs</t>
  </si>
  <si>
    <t xml:space="preserve">Rugāju muzejs  </t>
  </si>
  <si>
    <t>Lazdukalna pagasta pārvalde</t>
  </si>
  <si>
    <t>Rugāju pagasta pārvalde</t>
  </si>
  <si>
    <t>Algotie pagaidu sabiedriskie darbi</t>
  </si>
  <si>
    <t>Balkanu Dabas parks</t>
  </si>
  <si>
    <t>Viļakas pilsētas komunālā saimniecība - atkritumu apsaimniekošana</t>
  </si>
  <si>
    <t>Medņevas komunālā saimniecība -notekūdeņu apsaimniekošana</t>
  </si>
  <si>
    <t>Upītes komunālā saimniecība -notekūdeņu apsaimniekošana</t>
  </si>
  <si>
    <t>Rekavas komunālā saimniecība -notekūdeņu apsaimniekošana</t>
  </si>
  <si>
    <t>Kupravas komunālā saimniecība -notekūdeņu apsaimniekošana</t>
  </si>
  <si>
    <t>Vecumu komunālā saimniecība -notekūdeņu apsaimniekošana</t>
  </si>
  <si>
    <t>Žīguru komunālā saimniecība -notekūdeņu apsaimniekošana</t>
  </si>
  <si>
    <t xml:space="preserve">Ūdenssaimniecības attīstība Rugājos 2.kārta </t>
  </si>
  <si>
    <t>Lazdukalna pagasta komunālā saimniecība</t>
  </si>
  <si>
    <t>Rugāju pagasta komunālā saimniecība</t>
  </si>
  <si>
    <t>Lazdukalna pagasta ūdensapgāde</t>
  </si>
  <si>
    <t>Rugāju pagasta ūdensapgāde</t>
  </si>
  <si>
    <t>Kupravas feldšeru punkts</t>
  </si>
  <si>
    <t>Baltinavas muzejs</t>
  </si>
  <si>
    <t>Baltinavas kultūras nams</t>
  </si>
  <si>
    <t>Žīguru kultūras nams</t>
  </si>
  <si>
    <t>Viļakas kultūras nams</t>
  </si>
  <si>
    <t>Nemateriālās kultūras mantojuma centrs "Upīte" - tautas nams</t>
  </si>
  <si>
    <t>Medņevas Tautas nams</t>
  </si>
  <si>
    <t>Šķilbēnu pagasta kultūras centrs "Rekova"</t>
  </si>
  <si>
    <t>Skolēnu pārvadāšana Šķilbēnu pārvalde</t>
  </si>
  <si>
    <t>Viļakas mūzikas un mākslas skola</t>
  </si>
  <si>
    <t>Rekavas vidusskola</t>
  </si>
  <si>
    <t>Viduču pamatskola</t>
  </si>
  <si>
    <t>Projekts "Atbalsts izglītojamo individuālo kompetenču attīstībai"</t>
  </si>
  <si>
    <t>Viļakas pirmsskolas izglītības iestāde "Namiņš"</t>
  </si>
  <si>
    <t>Medņevas pirmsskolas izglītības iestāde "Pasaciņa"</t>
  </si>
  <si>
    <t>Eglaines pamatskola</t>
  </si>
  <si>
    <t>Izglītības pārvalde</t>
  </si>
  <si>
    <t>Baltinavas mūzikas un mākslas skola</t>
  </si>
  <si>
    <t>Baltinavas vidusskola</t>
  </si>
  <si>
    <t>Veļas mazgāšanas pakalpojumi (Rugāji)</t>
  </si>
  <si>
    <t>Bērzpils pamatskola</t>
  </si>
  <si>
    <t>4.pielikums</t>
  </si>
  <si>
    <t>Rugāju vidusskola</t>
  </si>
  <si>
    <t>Ziemeļlatgales sporta centrs</t>
  </si>
  <si>
    <t>Izglītības pārvaldes pasākumi</t>
  </si>
  <si>
    <t>Kultūras pārvalde</t>
  </si>
  <si>
    <t>Kultūras pārvaldes pasākumi</t>
  </si>
  <si>
    <t>Bijušo pagastu padomju un pilsētu domju vadītāju pabalsti</t>
  </si>
  <si>
    <t>Svētku un atceres dienu pabalsti</t>
  </si>
  <si>
    <t>Balvu novada pašvaldības dzīvojamā fonda atjaunošana</t>
  </si>
  <si>
    <t>Pašvaldības aizņēmumu apkalpošana un procentu maksa</t>
  </si>
  <si>
    <t>Tehniskās dokumentācijas izstrāde</t>
  </si>
  <si>
    <t>Sociālā pārvalde</t>
  </si>
  <si>
    <t>Dienas sociālas aprūpes centrs Benislavā</t>
  </si>
  <si>
    <t>Dienas aprūpes centrs un grupu dzīvokļi (māja) Viļakā</t>
  </si>
  <si>
    <t>Zobārstniecības kabinets  (Rugāju pagastā)</t>
  </si>
  <si>
    <t>Novada teritorijas īpašuma vadība</t>
  </si>
  <si>
    <t xml:space="preserve">Biznesa ideju konkurss </t>
  </si>
  <si>
    <t>Rugāju tautas nams</t>
  </si>
  <si>
    <t>Skolēnu pārvadājumi Krišjāņu pagastā</t>
  </si>
  <si>
    <t>Novada teritorijas apsaimniekošana</t>
  </si>
  <si>
    <t>Skolēnu pārvadājumi Lazdulejas pagastā</t>
  </si>
  <si>
    <t>Skolēnu pārvadājumi Bērzkalnes pagastā</t>
  </si>
  <si>
    <t>Skolēnu pārvadājumi Bērzpils pagastā</t>
  </si>
  <si>
    <t>Rubeņu Tautas nams</t>
  </si>
  <si>
    <t>Vecumu pagasta komunālā saimniecība</t>
  </si>
  <si>
    <t>Lazdulejas Saieta nams</t>
  </si>
  <si>
    <t>Bērzpils Saieta nams</t>
  </si>
  <si>
    <t>Skolēnu pārvadājumi Vīksnas pagastā</t>
  </si>
  <si>
    <t>Skolēnu pārvadājumi Rugāju pagastā</t>
  </si>
  <si>
    <t>Baltinavas pagasta ūdensapgāde</t>
  </si>
  <si>
    <t>Balvu pagasta ūdensapgāde</t>
  </si>
  <si>
    <t>Balvu pilsētas pārvalde</t>
  </si>
  <si>
    <t>Naudaskalna Tautas nams</t>
  </si>
  <si>
    <t>Ziemeļlatgales sporta centra pasākumi</t>
  </si>
  <si>
    <t>Vectilžas Sporta un atpūtas centrs</t>
  </si>
  <si>
    <t>Skolēnu pārvadājumi Vectilžas pagastā</t>
  </si>
  <si>
    <t>Skolēnu pārvadājumi Baltinavas pagastā</t>
  </si>
  <si>
    <t>Skolēnu pārvadāšana Viļakā</t>
  </si>
  <si>
    <t>Komisiju darba samaksa</t>
  </si>
  <si>
    <t>Skolēnu pārvadājumi Kubulu pagastā</t>
  </si>
  <si>
    <t>Baltinavas pagasta teritorijas apsiamniekošana</t>
  </si>
  <si>
    <t>Skolēnu pārvadājumi Tilžas pagastā</t>
  </si>
  <si>
    <t>Viļakas pilsētas komunālā saimniecība-notekūdenu apsaimniekošana</t>
  </si>
  <si>
    <t>Tilžas kultūras un vēstures nams</t>
  </si>
  <si>
    <t>Lazdukalna pagasta autoceļu (ielu) uzturēšana</t>
  </si>
  <si>
    <t>Medņevas pagasta autoceļu (ielu) uzturēšana</t>
  </si>
  <si>
    <t>Kupravas pagasta autoceļu (ielu) uzturēšana</t>
  </si>
  <si>
    <t>Rugāju pagasta autoceļu (ielu) uzturēšana</t>
  </si>
  <si>
    <t>Baltinavas pagasta autoceļu (ielu) uzturēšana</t>
  </si>
  <si>
    <t>Susāju pagasta autoceļu (ielu) uzturēšana</t>
  </si>
  <si>
    <t>Šķilbēnu pagasta autoceļu (ielu) uzturēšana</t>
  </si>
  <si>
    <t>Žīguru pagasta autoceļu (ielu) uzturēšana</t>
  </si>
  <si>
    <t>Viļakas pilsētas autoceļu (ielu) uzturēšana</t>
  </si>
  <si>
    <t>Vecumu pagasta autoceļu (ielu) uzturēšana</t>
  </si>
  <si>
    <t xml:space="preserve">Atbalsts priekšlaicīgas mācību pārtraukšanas samazināšanai </t>
  </si>
  <si>
    <t>Balvu pilsētas stadiona uzturēšana</t>
  </si>
  <si>
    <t>Dotācijas nevalstiskajām organizācijām, biedrībām projektu līdzfinansējumam, priekšfinansējumam</t>
  </si>
  <si>
    <t>Politiski represēto apvienība Balvu nodaļa</t>
  </si>
  <si>
    <t>Balvu pensionāru biedrība</t>
  </si>
  <si>
    <t>Balvu Teritoriālā Invalīdu biedrība</t>
  </si>
  <si>
    <t>Bērzpils pamatskolas pirmsskolas izglītības grupa Krišjāņos</t>
  </si>
  <si>
    <t>Tilžas pamatskola</t>
  </si>
  <si>
    <t>Tilžas pamatskolas pirmsskolas izglītības grupa Vectilžā</t>
  </si>
  <si>
    <t>Tilžas pamatskolas pirmsskolas izglītības grupas Tilžā</t>
  </si>
  <si>
    <t>Balvu novada Bērnu un jauniešu centrs</t>
  </si>
  <si>
    <t>Sociālie pabalsti</t>
  </si>
  <si>
    <t>Baltinavas muzeja ēkas energoefektivitātes paaugstināšana</t>
  </si>
  <si>
    <t>Rugāju pagasta pārvaldes ēkas energoefektivitātes paaugstināšana</t>
  </si>
  <si>
    <t>Muižas apbūves kompleksa pārbūve 2.kārta</t>
  </si>
  <si>
    <t>Mācību, darba un dienesta komandējumi, darba braucieni</t>
  </si>
  <si>
    <t>Pakalpojumi</t>
  </si>
  <si>
    <t>Krājumi, materiāli, energoresursi, preces, biroja preces un inventārs</t>
  </si>
  <si>
    <t xml:space="preserve">Budžeta iestāžu nodokļu, nodevu un sankciju maksājumi </t>
  </si>
  <si>
    <t>Krišjāņu komunālā saimniecība -notekūdeņu apsaimniekošana</t>
  </si>
  <si>
    <t>Krišjāņu komunālā saimniecība - ūdens</t>
  </si>
  <si>
    <t>Krišjāņu komunālā saimniecība - apkure</t>
  </si>
  <si>
    <t>Kubulu komunālā saimniecība -notekūdeņu apsaimniekošana</t>
  </si>
  <si>
    <t>Kubulu komunālā saimniecība - ūdens</t>
  </si>
  <si>
    <t>ERAF projekts Balvu mākslas skolas ēkas energoefektivitātes paaugstināšana</t>
  </si>
  <si>
    <t>Vides pieejamības veicināšana Balvu novada Nodarbinātības valsts aģentūrā</t>
  </si>
  <si>
    <t>Balvu sākumskolas pārbūve</t>
  </si>
  <si>
    <t>Bērzpils komunālā saimniecība -notekūdeņu apsaimniekošana</t>
  </si>
  <si>
    <t>Bērzpils komunālā saimniecība - ūdens</t>
  </si>
  <si>
    <t>Tilžas komunālā saimniecība -notekūdeņu apsaimniekošana</t>
  </si>
  <si>
    <t>Tilžas komunālā saimniecība - apkure</t>
  </si>
  <si>
    <t>Tilžas komunālā saimniecība - ūdens</t>
  </si>
  <si>
    <t>Viduču pamatskola Žīguros</t>
  </si>
  <si>
    <t>Erasmus + projekts Play, Learn, Act, Ensure Sustainable Development Viļakas Valsts ģimnāzija</t>
  </si>
  <si>
    <t>3.pielikums</t>
  </si>
  <si>
    <t>Klasifikācijas kods</t>
  </si>
  <si>
    <t>Iestādes un pasākumi</t>
  </si>
  <si>
    <t>Finansēšanas avots</t>
  </si>
  <si>
    <t xml:space="preserve">Kopā </t>
  </si>
  <si>
    <t>Vispārējie ieņēmumi</t>
  </si>
  <si>
    <t xml:space="preserve">Budžeta iestāžu ieņēmumi </t>
  </si>
  <si>
    <t>Valsts un pašvaldību transferti</t>
  </si>
  <si>
    <t>Aizņēmumi</t>
  </si>
  <si>
    <t>01.000</t>
  </si>
  <si>
    <t>Vispārējie valdības dienesti</t>
  </si>
  <si>
    <t>Rugāju  pagasta pārvalde</t>
  </si>
  <si>
    <t>03.000</t>
  </si>
  <si>
    <t>Sabiedriskā kārtība un drošība</t>
  </si>
  <si>
    <t>04.000</t>
  </si>
  <si>
    <t>Ekonomiskā darbība</t>
  </si>
  <si>
    <t>Balvu novada Būvvalde</t>
  </si>
  <si>
    <t>Ziemeļlatgales biznesa  un tūrisma centrs</t>
  </si>
  <si>
    <t>Biznesa ideju konkurss</t>
  </si>
  <si>
    <t>05.000</t>
  </si>
  <si>
    <t>Vides aizsardzība</t>
  </si>
  <si>
    <t>06.000</t>
  </si>
  <si>
    <t>Pašvaldības teritoriju un mājokļu apsaimniekošana</t>
  </si>
  <si>
    <t>Ielu apgaismojums</t>
  </si>
  <si>
    <t xml:space="preserve">Pārējā citur neklasificētā teritoriju un mājokļu apsaimniekošanas darbība </t>
  </si>
  <si>
    <t>Bērzkalnes pagasta komunālā saimniecība</t>
  </si>
  <si>
    <t>P/A "SAN-TEX"</t>
  </si>
  <si>
    <t>07.000</t>
  </si>
  <si>
    <t>Veselība</t>
  </si>
  <si>
    <t>Briežuciema feldšeru veselības punkts</t>
  </si>
  <si>
    <t>Krišjāņu feldšeru veselības punkts</t>
  </si>
  <si>
    <t>Kubulu feldšeru veselības punkts</t>
  </si>
  <si>
    <t>Lazdulejas feldšeru veselības punkts</t>
  </si>
  <si>
    <t>Skujetnieku feldšeru veselības punkts</t>
  </si>
  <si>
    <t>Upītes feldšeru-vecmāšu punkts</t>
  </si>
  <si>
    <t>Vectilžas feldšeru veselības punkts</t>
  </si>
  <si>
    <t>Vīksnas feldšeru veselības punkts</t>
  </si>
  <si>
    <t>Zobārstniecības kabinets (Rugāji)</t>
  </si>
  <si>
    <t>08.000</t>
  </si>
  <si>
    <t>Atpūtas un sporta pasākumi</t>
  </si>
  <si>
    <t>Kultūra</t>
  </si>
  <si>
    <t>Bibliotēkas</t>
  </si>
  <si>
    <t>Muzeji</t>
  </si>
  <si>
    <t>Balvu novada muzejs</t>
  </si>
  <si>
    <t>Kultūras nami</t>
  </si>
  <si>
    <t>Briežuciema pagasta Tautas nams</t>
  </si>
  <si>
    <t>Lazdulejas saieta nams</t>
  </si>
  <si>
    <t>Nemateriālās kultūras mantojuma centrs "Upīte"</t>
  </si>
  <si>
    <t>Balvu kultūras un atpūtas centra pasākumi</t>
  </si>
  <si>
    <t>08.600</t>
  </si>
  <si>
    <t>Pārējā citur neklasificētā kultūra</t>
  </si>
  <si>
    <t>09.000</t>
  </si>
  <si>
    <t>Izglītība</t>
  </si>
  <si>
    <t>Pirmsskolas izglītība</t>
  </si>
  <si>
    <t>Pamatizglītība, vispārējā un profesionālā izglītība</t>
  </si>
  <si>
    <t>Pamatskola</t>
  </si>
  <si>
    <t>Eglaines pamatkola</t>
  </si>
  <si>
    <t>Bērzpils pamatskolas Krišjāņu pirmsskolas grupa</t>
  </si>
  <si>
    <t>Vidusskolas</t>
  </si>
  <si>
    <t>Balvu profesionālā un vispāizglītojošā vidusskola</t>
  </si>
  <si>
    <t>Interešu un profesionālās ievirzes izglītība</t>
  </si>
  <si>
    <t>Peldbaseins</t>
  </si>
  <si>
    <t>Balvu Bērnu un jauniešu centrs</t>
  </si>
  <si>
    <t>Pārējā izglītības vadība</t>
  </si>
  <si>
    <t>Pārējie citur neklasificētie izglītības pakalpojumi</t>
  </si>
  <si>
    <t>10.000</t>
  </si>
  <si>
    <t>Sociālā aizsardzība</t>
  </si>
  <si>
    <t>Pārējais citur neklasificēts atbalsts sociāli atstumtām personām</t>
  </si>
  <si>
    <t>Dotācijas biedrībām aktivitāšu atbalstam</t>
  </si>
  <si>
    <t>Asistenta pakalpojumi personām ar invaliditāti</t>
  </si>
  <si>
    <t>Rugāju komunālā saimniecība - notekūdeņu apsaimniekošana</t>
  </si>
  <si>
    <t>Baltinavas komunālā saimniecība - notekūdeņu apsaimniekošana</t>
  </si>
  <si>
    <t>Lazdukalna komunālā saimniecība - notekūdeņu apsaimniekošana</t>
  </si>
  <si>
    <t>Kupravas pagasta komunālā saimniecība</t>
  </si>
  <si>
    <t>Medņevas pagasta komunālā saimniecība</t>
  </si>
  <si>
    <t>Šķilbēnu pagasta komunālā saimniecība</t>
  </si>
  <si>
    <t>Vecumu pagasta teritorijas apsaimniekošana</t>
  </si>
  <si>
    <t>Rekavas komunālā saimniecība - apkure</t>
  </si>
  <si>
    <t>Žīguru komunālā saimniecība - ūdens</t>
  </si>
  <si>
    <t>2.pielikums</t>
  </si>
  <si>
    <t>Ieņēmumi</t>
  </si>
  <si>
    <t>Ieņēmumu veidi</t>
  </si>
  <si>
    <t>KOPĀ (EUR)</t>
  </si>
  <si>
    <t>Vispārējie pamatbudžeta ieņēmumi (EUR)</t>
  </si>
  <si>
    <t>Maksas pakalpojumi un pašu ieņēmumi (EUR)</t>
  </si>
  <si>
    <t>Valsts mērķdotācijas (EUR)</t>
  </si>
  <si>
    <t>I</t>
  </si>
  <si>
    <t>IEŅĒMUMI KOPĀ</t>
  </si>
  <si>
    <t>Nodokļu ieņēmumi</t>
  </si>
  <si>
    <t>1.0.0.0.</t>
  </si>
  <si>
    <t>IENĀKUMA NODOKĻI</t>
  </si>
  <si>
    <t>1.1.1.0</t>
  </si>
  <si>
    <t>Iedzīvotāju ienākuma nodoklis</t>
  </si>
  <si>
    <t>1.1.1.2</t>
  </si>
  <si>
    <t>4.0.0.0.</t>
  </si>
  <si>
    <t>ĪPAŠUMA NODOKĻI</t>
  </si>
  <si>
    <t>4.1.0.0</t>
  </si>
  <si>
    <t>Nekustamā īpašuma nodoklis</t>
  </si>
  <si>
    <t>4.1.1.0</t>
  </si>
  <si>
    <t>Nekustamā īpašuma nodoklis par zemi</t>
  </si>
  <si>
    <t>4.1.1.1</t>
  </si>
  <si>
    <t>Nekustamā īpašuma nodokļa par zemi kārtējā saimnieciskā gada ieņēmumi</t>
  </si>
  <si>
    <t>4.1.1.2</t>
  </si>
  <si>
    <t>Nekustamā īpašuma nodoklis par zemi-iepriekšējo gadu parādi</t>
  </si>
  <si>
    <t>4.1.2.0</t>
  </si>
  <si>
    <t>Nekustamā īpašuma nodokļi par ēkām</t>
  </si>
  <si>
    <t>4.1.2.1</t>
  </si>
  <si>
    <t>Nekustamā īpašuma nodoklis par ēkām kārtējā  gada maksājumi</t>
  </si>
  <si>
    <t>t.sk. par inženierbūvēm</t>
  </si>
  <si>
    <t>4.1.2.2</t>
  </si>
  <si>
    <t>Nekustamā īpašuma nodoklis par ēkām-iepriekšējo gadu parādi</t>
  </si>
  <si>
    <t>4.1.3.0</t>
  </si>
  <si>
    <t>Nekustamā īpašuma nodokļi par mājokļiem</t>
  </si>
  <si>
    <t>4.1.3.1.</t>
  </si>
  <si>
    <t>Nekustamā īpašuma nodokļa par mājokļiem kārtējā saimnieciskā gada ieņēmumi</t>
  </si>
  <si>
    <t>4.1.3.2.</t>
  </si>
  <si>
    <t>Nekustamā īpašuma naodoklis par mājokļiem-iepriekšējo gadu parādi</t>
  </si>
  <si>
    <t>5.0.0.0.</t>
  </si>
  <si>
    <t xml:space="preserve">NODOKĻI PAR PAKALPOJUMIEM UN PRECĒM </t>
  </si>
  <si>
    <t>5.4.0.0.</t>
  </si>
  <si>
    <t>Nodokļi par atsevišķām precēm un pakalpojumu veidiem</t>
  </si>
  <si>
    <t>5.4.1.0</t>
  </si>
  <si>
    <t>Azartspēļu nodoklis</t>
  </si>
  <si>
    <t>5.5.0.0.</t>
  </si>
  <si>
    <t>Nodokļi un maksājumi par tiesībām lietot atsevišķas preces</t>
  </si>
  <si>
    <t>5.5.3.0.</t>
  </si>
  <si>
    <t>Dabas resursu nodoklis</t>
  </si>
  <si>
    <t>Nenodokļu ieņēmumi</t>
  </si>
  <si>
    <t>8.0.0.0.</t>
  </si>
  <si>
    <t>Ieņēmumi no uzņēmējdarbības un īpašuma</t>
  </si>
  <si>
    <t>8.6.0.0.</t>
  </si>
  <si>
    <t>Procentu ieņēmumi par depozītiem, kontu atlikumiem, valsts parāda vērtspapīriem un atlikto maksājumu</t>
  </si>
  <si>
    <t>9.0.0.0.</t>
  </si>
  <si>
    <t>VALSTS (PAŠVALDĪBU) NODEVAS UN KANCELEJAS NODEVAS</t>
  </si>
  <si>
    <t>9.4.0.0.</t>
  </si>
  <si>
    <t>Valsts nodevas, kuras ieskaita valsts budžetā</t>
  </si>
  <si>
    <t>9.4.2.0.</t>
  </si>
  <si>
    <t>Valsts nodeva par apliecinājumiem un citu funkciju pildīšanu bāriņtiesās</t>
  </si>
  <si>
    <t>9.4.5.0.</t>
  </si>
  <si>
    <t>Valsts nodeva par civilstāvokļa aktu reģistrēšanu, grozīšanu un papildināšanu</t>
  </si>
  <si>
    <t>9.4.9.0.</t>
  </si>
  <si>
    <t>Pārējās valsts nodevas, kuras ieskaita pašvaldību budžetos</t>
  </si>
  <si>
    <t>9.4.9.1.</t>
  </si>
  <si>
    <t>Nodeva par dzīves vietas deklarēšanu</t>
  </si>
  <si>
    <t>9.5.0.0.</t>
  </si>
  <si>
    <t>Pašvaldības nodevas</t>
  </si>
  <si>
    <t>9.5.1.2.</t>
  </si>
  <si>
    <t>Pašvaldības nodeva par izklaidējoša rakstura pasākumu sarīkošanu publiskās vietās</t>
  </si>
  <si>
    <t>9.5.1.4.</t>
  </si>
  <si>
    <t>Pašvaldības nodeva par tirdzniecību publiskās vietās</t>
  </si>
  <si>
    <t>9.5.1.7.</t>
  </si>
  <si>
    <t>Pašvaldības nodeva par reklāmas,afišu un sludinājumu izvietošanu publiskajās vietās</t>
  </si>
  <si>
    <t>9.5.2.1.</t>
  </si>
  <si>
    <t>Pašvaldības nodeva par būvatļaujas saņemšanu</t>
  </si>
  <si>
    <t>9.5.2.9.</t>
  </si>
  <si>
    <t>Pārējās nodevas, ko uzliek pašvaldības</t>
  </si>
  <si>
    <t>10.0.0.0.</t>
  </si>
  <si>
    <t>NAUDAS SODI UN SANKCIJAS</t>
  </si>
  <si>
    <t>10.1.4.0.</t>
  </si>
  <si>
    <t xml:space="preserve">Naudas sodi, ko uzliek pašvaldības </t>
  </si>
  <si>
    <t>10.1.4.1.</t>
  </si>
  <si>
    <t>Naudas sodi, ko uzliek pašvaldības administratīvo pārkāpumu komisija</t>
  </si>
  <si>
    <t>10.1.4.2.</t>
  </si>
  <si>
    <t>Naudas sodi, ko uzliek pašvaldības policija</t>
  </si>
  <si>
    <t>10.1.5.0.</t>
  </si>
  <si>
    <t>Naudas sodi, ko uzliek pašvaldību institūcijas  par pārkāpumiem ceļu satiksmē</t>
  </si>
  <si>
    <t>12.0.0.0.</t>
  </si>
  <si>
    <t>PĀRĒJIE NENODOKĻU IEŅĒMUMI</t>
  </si>
  <si>
    <t>12.3.9.9.</t>
  </si>
  <si>
    <t>Pārējie dažādi nenodokļu ieņēmumi, kas nav iepriekš klasificēti šajā klasifikācijā</t>
  </si>
  <si>
    <t>12.3.9.9.4</t>
  </si>
  <si>
    <t>Pārējie ieņēmumi</t>
  </si>
  <si>
    <t>Ziemeļlatgales sporta centrs (pasākumi)</t>
  </si>
  <si>
    <t>Latvijas darba devēju konfederācijas finansējums Balvu Profesionālajai un vispārizglītojošai vidusskolai</t>
  </si>
  <si>
    <t>13.0.0.0.</t>
  </si>
  <si>
    <t>IEŅĒMUMI NO VALSTS (PAŠVALDĪBAS) ĪPAŠUMA IZNOMĀŠANAS  PĀRDOŠANAS</t>
  </si>
  <si>
    <t>13.1.0.0.</t>
  </si>
  <si>
    <t>Ieņēmumi no ēku un būvju īpašuma pārdošanas</t>
  </si>
  <si>
    <t>13.2.0.0.</t>
  </si>
  <si>
    <t>Ieņēmumi no zemes, mežu īpašuma pārdošanas</t>
  </si>
  <si>
    <t>13.2.1.0.</t>
  </si>
  <si>
    <t>Ieņēmumi no zemes īpašuma pārdošanas</t>
  </si>
  <si>
    <t>13.2.2.0.</t>
  </si>
  <si>
    <t>Ieņēmumi no mežu īpašumu pārdošanas</t>
  </si>
  <si>
    <t>17.0.0.0.</t>
  </si>
  <si>
    <t>NO VALSTS BUDŽETA DAĻĒJI FINANSĒTO PUBLISKO PERSONU UN BUDŽETA NEFINANSĒTO IESTĀŽU TRANSFERTI</t>
  </si>
  <si>
    <t>Latgales plānošanas reģiona finansējums projektam "Deinstitucionalizācijas pasākumu īstenošana Latgales reģionā"</t>
  </si>
  <si>
    <t>17.2.0.0.</t>
  </si>
  <si>
    <t>Dienas aprūpes centrs un grupu dzīvokļi Viļaka</t>
  </si>
  <si>
    <t>18.0.0.0.</t>
  </si>
  <si>
    <t>VALSTS BUDŽETA TRANSFERTI</t>
  </si>
  <si>
    <t>18.6.2.0.</t>
  </si>
  <si>
    <t>Pašvaldības saņemtie valsts budžeta transferti noteiktam mērķim</t>
  </si>
  <si>
    <t>18.6.2.0.02</t>
  </si>
  <si>
    <t>Mērķdotācijas pašvaldību pamata un vispārējās izglītības iestāžu pedagogu darba samaksai un valsts sociālās apdrošināšanas obligātajām iemaksām</t>
  </si>
  <si>
    <t>Mērķdotācijas pašvaldību profesionālās pamatizglītības, arodizglītības un profesionālās vidējās izglītības programmu pedagogu darba samaksai un valsts sociālās apdrošināšanas obligātajām iemaksām</t>
  </si>
  <si>
    <t>Mērķdotācija interešu izglītības programmu pedagogu daļējai darba samaksai un valsts sociālās apdrošināšanas obligātajām iemaksām</t>
  </si>
  <si>
    <t>18.6.2.0.03</t>
  </si>
  <si>
    <t>Mērķdotācijas pašvaldības izglītības iestāžu piecgadīgo un sešgadīgo bērnu apmācības pedagogu darba samaksai un valsts soc.apdroš.obligātajām iemaksām</t>
  </si>
  <si>
    <t>18.6.2.0.04</t>
  </si>
  <si>
    <t>Mērķdotācija audžuģimenēm par bērna uzturnaudas palielināšanu</t>
  </si>
  <si>
    <t>18.6.2.0.05</t>
  </si>
  <si>
    <t>Valsts dotācija autoceļu (ielu) uzturēšanai</t>
  </si>
  <si>
    <t>18.6.2.0.06</t>
  </si>
  <si>
    <t>Valsts dotācija sporta skolai</t>
  </si>
  <si>
    <t>18.6.2.0.07</t>
  </si>
  <si>
    <t>Valsts dotācija mūzikas un mākslas skolām</t>
  </si>
  <si>
    <t>18.6.2.0.08</t>
  </si>
  <si>
    <t>Valsts dotācija 1.-4.klašu brīvpusdienu daļējai apmaksai</t>
  </si>
  <si>
    <t>18.6.2.0.13</t>
  </si>
  <si>
    <t>MD māksliniecisko kolektīvu vadītāju darba samaksai un valsts sociālās apdrošināšanas obligātajām iemaksām</t>
  </si>
  <si>
    <t>Lazdukalna Saieta nams</t>
  </si>
  <si>
    <t>Briežuciema tautas nams</t>
  </si>
  <si>
    <t>Vīksnas tautas nams</t>
  </si>
  <si>
    <t>Viļakas Kultūras nams</t>
  </si>
  <si>
    <t>Medņevas tautas nams</t>
  </si>
  <si>
    <t>Vectilžas sporta un atpūtas centrs</t>
  </si>
  <si>
    <t>18.6.2.0.14</t>
  </si>
  <si>
    <t>Valsts un pašvaldības vienotā klientu apkalpošanas centra uzturēšana</t>
  </si>
  <si>
    <t>Latvijas Skolas soma</t>
  </si>
  <si>
    <t>18.6.2.0.18.</t>
  </si>
  <si>
    <t>18.6.2.0.23</t>
  </si>
  <si>
    <t>Feldšerpunktu dotācija</t>
  </si>
  <si>
    <t>Briežuciema feldšeru punkts</t>
  </si>
  <si>
    <t>Krišjāņu feldšeru punkts</t>
  </si>
  <si>
    <t>Lazdulejas feldšeru punkts</t>
  </si>
  <si>
    <t>Vectilžas feldšeru punkts</t>
  </si>
  <si>
    <t>Vīksnas feldšeru punkts</t>
  </si>
  <si>
    <t>Kubulu feldšeru punkts</t>
  </si>
  <si>
    <t>Skujetnieku feldšeru punkts</t>
  </si>
  <si>
    <t>Upītes feldšeru punkts</t>
  </si>
  <si>
    <t>18.6.2.0.20</t>
  </si>
  <si>
    <t>LM finansējums asistenta pakalpojumiem personām ar invaliditāti</t>
  </si>
  <si>
    <t>18.6.2.0.30</t>
  </si>
  <si>
    <t>18.6.2.0.47</t>
  </si>
  <si>
    <t>18.6.2.0.54</t>
  </si>
  <si>
    <t>Valsts dotācija mājokļa pabalstam</t>
  </si>
  <si>
    <t>18.6.3.0.</t>
  </si>
  <si>
    <t>Pašvaldību no valsts budžeta iestādēm saņemtie transferti ES politiku instrumentu un pārējās ārvalstu finanšu palīdzības līdzfinansētajiem projektiem (pasākumiem)</t>
  </si>
  <si>
    <t>18.6.3.0.04</t>
  </si>
  <si>
    <t>Atbalsts izglītojāmo individuālo kompetenču attīstībai</t>
  </si>
  <si>
    <t>18.6.3.0.05</t>
  </si>
  <si>
    <t>18.6.3.0.15</t>
  </si>
  <si>
    <t>Atbalsts priekšlaicīgas mācību pārtraukšanas samazināšanai</t>
  </si>
  <si>
    <t>18.6.4.0.</t>
  </si>
  <si>
    <t>Pašvaldību budžetā saņemta dotācijas no pašvaldības finanšu izlīdzināšanas fonda</t>
  </si>
  <si>
    <t>Sociālās aprūpes centrs "Rugāji"</t>
  </si>
  <si>
    <t>Maksas pakalpojumi un citi pašu ieņēmumi</t>
  </si>
  <si>
    <t>21.3.0.0.</t>
  </si>
  <si>
    <t>Ieņēmumi no budžeta iestāžu sniegtajiem maksas pakalpojumiem un citi pašu ieņēmumi</t>
  </si>
  <si>
    <t>21.3.5.0.</t>
  </si>
  <si>
    <t>Maksa par izglītības pakalpojumiem</t>
  </si>
  <si>
    <t>21.3.5.1.</t>
  </si>
  <si>
    <t>Mācību maksa</t>
  </si>
  <si>
    <t>Balvu Mākslas skola</t>
  </si>
  <si>
    <t>Balvu Mūzikas skola</t>
  </si>
  <si>
    <t>Baltinavas Mūzikas un mākslas skola</t>
  </si>
  <si>
    <t>21.3.5.2.</t>
  </si>
  <si>
    <t>Ieņēmumi no vecāku maksām</t>
  </si>
  <si>
    <t>Medņevas PII "Pasaciņa"</t>
  </si>
  <si>
    <t>Viļakas PII "Namiņš"</t>
  </si>
  <si>
    <t>Baltinavas vidusskolas pirmsskolas izglītības grupas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</si>
  <si>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</si>
  <si>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</si>
  <si>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</si>
  <si>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</si>
  <si>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</si>
  <si>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</si>
  <si>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</si>
  <si>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telpu nomu (novads)</t>
  </si>
  <si>
    <t>Valsts un pašvaldības vienotā klientu apkalpošanas centrs</t>
  </si>
  <si>
    <t>Vīksnas pagasta Tautas nams</t>
  </si>
  <si>
    <t>21.3.8.3.</t>
  </si>
  <si>
    <t>Ieņēmumi no kustamā īpašuma iznomāšanas</t>
  </si>
  <si>
    <t>Viļakas pilsētas komunālā saimniecība-notekūdeņu apsaimniekošana</t>
  </si>
  <si>
    <t>Viļakas Mūzikas un mākslas skola</t>
  </si>
  <si>
    <t>21.3.8.4.</t>
  </si>
  <si>
    <t>Ieņēmumi par zemes nomu</t>
  </si>
  <si>
    <t>21.3.8.9.</t>
  </si>
  <si>
    <t>Pārējie ieņēmumi par nomu un īri</t>
  </si>
  <si>
    <t>Žīguru pārvaldes pašvaldības dzīvokļu uzturēšana</t>
  </si>
  <si>
    <t>21.3.9.0.</t>
  </si>
  <si>
    <t>Ieņēmumi par pārējiem budžeta iestāžu sniegtajiem maksas pakalpojumiem</t>
  </si>
  <si>
    <t>21.3.9.1.</t>
  </si>
  <si>
    <t>Maksa par personu uzturēšanos sociālās aprūpes iestādēs</t>
  </si>
  <si>
    <t>21.3.9.2.</t>
  </si>
  <si>
    <t>Ieņēmumi no pacientu iemaksām un sniegtajiem rehabilitācijas un ārstniecības pakalpojumiem</t>
  </si>
  <si>
    <t>Kubulu FVP</t>
  </si>
  <si>
    <t>Krišjāņu FVP</t>
  </si>
  <si>
    <t>Lazdulejas FVP</t>
  </si>
  <si>
    <t>Vectilžas FVP</t>
  </si>
  <si>
    <t>Vīksnas FVP</t>
  </si>
  <si>
    <t>21.3.9.3.</t>
  </si>
  <si>
    <t>Ieņēmumi par biļešu realizāciju</t>
  </si>
  <si>
    <t>Bērzpils pagasta Saieta nams</t>
  </si>
  <si>
    <t>Kubulu Kultūras nams</t>
  </si>
  <si>
    <t>Rugāju Tautas nams</t>
  </si>
  <si>
    <t>Nemateiālās kultūras mantojuma centrs "Upīte"</t>
  </si>
  <si>
    <t>21.3.9.4.</t>
  </si>
  <si>
    <t>Ieņēmumi par dzīvokļu un komunālajiem pakalpojumiem</t>
  </si>
  <si>
    <t>Balvu novada pašvaldība</t>
  </si>
  <si>
    <t>P/A SAN-TEX</t>
  </si>
  <si>
    <t>21.3.9.4.2.</t>
  </si>
  <si>
    <t>Ieņēmumi par komunālājiem pakalpojumiem</t>
  </si>
  <si>
    <t>Kupravas pagasta komunālā saimniecība-apkure</t>
  </si>
  <si>
    <t>`</t>
  </si>
  <si>
    <t>Krišjāņu pagasta komunālā saimniecība-apkure</t>
  </si>
  <si>
    <t>Vecumu komunālā saimniecība-apkure</t>
  </si>
  <si>
    <t>Viļakas pilsētas komunālā saimniecība-apkure</t>
  </si>
  <si>
    <t>Žīguru pagasta komunālā saimniecība-apkure</t>
  </si>
  <si>
    <t>Balvu pagasta komunālā saimniecība-ūdens</t>
  </si>
  <si>
    <t>Baltinavas komunālā saimniecība-ūdens</t>
  </si>
  <si>
    <t>Bērzpils komunālā saimniecība-ūdens</t>
  </si>
  <si>
    <t>Krišjāņu pagasta komunālā saimniecība-ūdens</t>
  </si>
  <si>
    <t>Kubulu pagasta komunālā saimniecība-ūdens</t>
  </si>
  <si>
    <t>Kupravas pagasta komunālā saimniecība-ūdens</t>
  </si>
  <si>
    <t>Lazdukalna pagasts komunālā saimniecība-ūdens</t>
  </si>
  <si>
    <t>Rugāju pagasta komunālā saimniecība-ūdens</t>
  </si>
  <si>
    <t>Vecumu komunālā saimniecība-ūdens</t>
  </si>
  <si>
    <t>Žīguru pagasta komunālā saimniecība-ūdens</t>
  </si>
  <si>
    <t>Baltinavas pagasta komunālā saimniecība-notekūdeņu apsaimniekošana</t>
  </si>
  <si>
    <t>Bērzpils pagasta komunālā saimniecība-notekūdeņu apsaimniekošana</t>
  </si>
  <si>
    <t>Kubulu pagasta komunālā saimniecība-notekūdeņu apsaimniekošana</t>
  </si>
  <si>
    <t>Kupravas pagasta komunālā saimniecība-notekūdeņu apsaimniekošana</t>
  </si>
  <si>
    <t>Krišjāņu pagasta komunālā saimniecība-notekūdeņu apsaimniekošana</t>
  </si>
  <si>
    <t>Lazdukalna pagasta komunālā saimniecība-notekūdeņu apsaimniekošana</t>
  </si>
  <si>
    <t>Medņevas pagasta komunālā saimniecība-notekūdeņu apsaimniekošana</t>
  </si>
  <si>
    <t>Rekavas komunālā saimniecība - notekūdeņu apsaimniekošana</t>
  </si>
  <si>
    <t>Tilžas komunālā saimniecība - notekūdeņu apsaimniekošana</t>
  </si>
  <si>
    <t>Upītes komunālā saimniecība - notekūdeņu apsaimniekošana</t>
  </si>
  <si>
    <t>Vecumu komunālā saimniecība-notekūdeņu apsaimniekošana</t>
  </si>
  <si>
    <t>Rugāju pagasta komunālā saimniecība-notekūdeņu apsaimniekošana</t>
  </si>
  <si>
    <t>Žīguru pagasta komunālā saimniecība-notekūdeņu apsaimniekošana</t>
  </si>
  <si>
    <t>Viļakas pilsētas komunālā saimniecība-atkritumu apsaimniekošana</t>
  </si>
  <si>
    <t>21.3.9.4.3.</t>
  </si>
  <si>
    <t>Apsaimniekošanas maksa</t>
  </si>
  <si>
    <t xml:space="preserve">21.3.9.9. </t>
  </si>
  <si>
    <t>Citi ieņēmumi par maksas pakalpojumiem</t>
  </si>
  <si>
    <t>21.3.9.9.1.</t>
  </si>
  <si>
    <t>Ieņēmumi par skolēnu ēdināšanu</t>
  </si>
  <si>
    <t>21.3.9.9.2.</t>
  </si>
  <si>
    <t>Peldbaseina ieņēmumi</t>
  </si>
  <si>
    <t>21.3.9.9.4.</t>
  </si>
  <si>
    <t>Maksas pakalpojumi</t>
  </si>
  <si>
    <t>Pašvaldības policija (atskurbtuve)</t>
  </si>
  <si>
    <t>21.3.9.9.7.</t>
  </si>
  <si>
    <t>Ieņēmumi no darbinieku ēdināšanas</t>
  </si>
  <si>
    <t xml:space="preserve">Bērzkalnes PII </t>
  </si>
  <si>
    <t>21.4.0.0.</t>
  </si>
  <si>
    <t>Pārējie 2.3.0.0.0.grupā neklasificētie budžeta iestāžu ieņēmumi par budžeta iestāžu sniegtajiem maksas pakalpojumiem un citi pašu ieņēmumi</t>
  </si>
  <si>
    <t>21.4.2.9.</t>
  </si>
  <si>
    <t>Pārējie iepriekš neklasificētie īpašiem mērķiem noteiktie ieņēmumi</t>
  </si>
  <si>
    <t>21.4.9.0.</t>
  </si>
  <si>
    <t>Citi iepriekš neklasificētie pašu ieņēmumi</t>
  </si>
  <si>
    <t>1.pielikums</t>
  </si>
  <si>
    <t>Rādītāju nosaukumi</t>
  </si>
  <si>
    <t>Budžeta kategoriju kodi</t>
  </si>
  <si>
    <t>I IEŅĒMUMI - kopā</t>
  </si>
  <si>
    <t xml:space="preserve">  Ieņēmumi no iedzīvotāju ienākuma nodokļa</t>
  </si>
  <si>
    <t xml:space="preserve">  1.1.0.0.</t>
  </si>
  <si>
    <t xml:space="preserve">  Nekustamā īpašuma nodoklis</t>
  </si>
  <si>
    <t xml:space="preserve">  4.1.0.0.</t>
  </si>
  <si>
    <t>NODOKĻI PAR PAKALPOJUMIEM UN PRECĒM</t>
  </si>
  <si>
    <t xml:space="preserve">  Nodokļi un maksājumi par tiesībām lietot atsevišķas preces</t>
  </si>
  <si>
    <t xml:space="preserve">  5.5.0.0.</t>
  </si>
  <si>
    <t>IEŅĒMUMI NO UZŅĒMĒJDARBĪBAS UN ĪPAŠUMA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</si>
  <si>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</si>
  <si>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</si>
  <si>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</si>
  <si>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</si>
  <si>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 xml:space="preserve">  Naudas sodi</t>
  </si>
  <si>
    <t xml:space="preserve">  10.1.0.0.</t>
  </si>
  <si>
    <t xml:space="preserve">  Citi dažādi nenodokļu ieņēmumi</t>
  </si>
  <si>
    <t>12.3.0.0.</t>
  </si>
  <si>
    <t>Ieņēmumi no valsts (pašvaldību) īpašuma iznomāšanas, pārdošanas un no nodokļu pamatparāda kapitalizācijas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</si>
  <si>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</si>
  <si>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</si>
  <si>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</si>
  <si>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</si>
  <si>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>No valsts budžeta daļēji finansēto atvasināto publisko personu un budžeta nefinansēto iestāžu transferti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</si>
  <si>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</si>
  <si>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</si>
  <si>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</si>
  <si>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 xml:space="preserve">  Pašvaldību saņemtie transferti no valsts budžeta</t>
  </si>
  <si>
    <t xml:space="preserve">  18.6.0.0.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</si>
  <si>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</si>
  <si>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</si>
  <si>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</si>
  <si>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</si>
  <si>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</si>
  <si>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</si>
  <si>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</si>
  <si>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</si>
  <si>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</si>
  <si>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Teritoriju un mājokļu apsaimniekošana</t>
  </si>
  <si>
    <t>Atpūta, kultūra un reliģija</t>
  </si>
  <si>
    <t>Izdevumi atbilstoši ekonomiskajām kategorijām</t>
  </si>
  <si>
    <t>Atlīdzība</t>
  </si>
  <si>
    <t>1000</t>
  </si>
  <si>
    <t>2000</t>
  </si>
  <si>
    <t>3000</t>
  </si>
  <si>
    <t>Procentu izdevumi</t>
  </si>
  <si>
    <t>4000</t>
  </si>
  <si>
    <t>5000</t>
  </si>
  <si>
    <t>6000</t>
  </si>
  <si>
    <t>Transferti, uzturēšanas izdevumu transferti, pašu resursu maksājumi, starptautiskā sadarbība</t>
  </si>
  <si>
    <t>7000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</si>
  <si>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</si>
  <si>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</si>
  <si>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</si>
  <si>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</si>
  <si>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</si>
  <si>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</si>
  <si>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</si>
  <si>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</si>
  <si>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</si>
  <si>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</si>
  <si>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</si>
  <si>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 xml:space="preserve">    F22010000 PB</t>
  </si>
  <si>
    <t>F40020000</t>
  </si>
  <si>
    <t xml:space="preserve">  Saņemtie aizņēmumi</t>
  </si>
  <si>
    <t xml:space="preserve">  Saņemto aizņēmumu atmaksa</t>
  </si>
  <si>
    <t xml:space="preserve">  F40020020</t>
  </si>
  <si>
    <t>Valsts dotācija sociālās aprūpes centru iemītniekiem</t>
  </si>
  <si>
    <t>F40020010</t>
  </si>
  <si>
    <t>Atlikums             uz gada sākumu</t>
  </si>
  <si>
    <t>Izglītības  pārvalde - vasaras nometnes</t>
  </si>
  <si>
    <t>Ieņēmumi no kokmateriālu realizācijas</t>
  </si>
  <si>
    <t>Valsts dotācija Ukrainas civiliedzīvotāju izmitināšanas iespējām</t>
  </si>
  <si>
    <t>Ukrainas civiliedzīvotāju izmitināšanas iespējām</t>
  </si>
  <si>
    <t>Veļas mājas pakalpojumi iedzīvotājiem Baltinavā</t>
  </si>
  <si>
    <t>Lazdulējas Saieta nams</t>
  </si>
  <si>
    <t>Kubulu PII Ieviņa</t>
  </si>
  <si>
    <t>Atbalsts Ukrainas civiliedzīvotājiem un izmitināšanas iespējām</t>
  </si>
  <si>
    <t>Ieņēmumi par nedzīvojamā nekustamā īpašuma nomu</t>
  </si>
  <si>
    <t>PAŠVALDĪBU BUDŽETU TRANSFERTI</t>
  </si>
  <si>
    <t>19.0.0.0.</t>
  </si>
  <si>
    <t>19.2.0.0.01.</t>
  </si>
  <si>
    <t>Ieņēmumi izglītības funkciju nodoršināšanai</t>
  </si>
  <si>
    <t>Pašvaldību budžetu transferti</t>
  </si>
  <si>
    <t>19.0.0.0</t>
  </si>
  <si>
    <t>Pašvaldību saņemtie transferti no citām pašvaldībām</t>
  </si>
  <si>
    <t>19.2.0.0.</t>
  </si>
  <si>
    <t>Balvu sporta skola trenažieru zāles izmantošanu</t>
  </si>
  <si>
    <t>Tilžas pamatskolas Tilžas pirmsskolas grupa</t>
  </si>
  <si>
    <t>Tilžas pamatskolas Vectilžas pirmsskolas grupa</t>
  </si>
  <si>
    <t>Balvu sporta skola pilsētas stadiona maksas pakalpojumu ieņēmumi</t>
  </si>
  <si>
    <t>Rekavas vidusskola pirmsskolas grupas</t>
  </si>
  <si>
    <t>Viduču pamatskola Žīguros pirmsskolas grupas</t>
  </si>
  <si>
    <t>Balvu Profesionālā un vispārizglītojošā vidusskolas tālākizglītības centrs</t>
  </si>
  <si>
    <t>Bērzkalnes komunālā saimniecība-ūdens</t>
  </si>
  <si>
    <t>Briežuciema komunālā saimniecība-ūdens</t>
  </si>
  <si>
    <t>Lazdulejas pagasts komunālā saimniecība-ūdens</t>
  </si>
  <si>
    <t>Vectilžas komunālā saimniecība - ūdens</t>
  </si>
  <si>
    <t>Vīksnas pagasta komunālā saimniecība-ūdens</t>
  </si>
  <si>
    <t>Bērzkalnes pagasta komunālā saimniecība-notekūdeņu apsaimniekošana</t>
  </si>
  <si>
    <t>Briežuciema pagasta komunālā saimniecība-notekūdeņu apsaimniekošana</t>
  </si>
  <si>
    <t>Lazdulejas pagasta komunālā saimniecība-notekūdeņu apsaimniekošana</t>
  </si>
  <si>
    <t>Vīksnas komunālā saimniecība - notekūdeņu apsaimniekošana</t>
  </si>
  <si>
    <t>Balvu profesionālā un vispāizglītojošā vidusskolas tālākizglītības centrs</t>
  </si>
  <si>
    <t>Bērzkalnes komunālā saimniecība - ūdens</t>
  </si>
  <si>
    <t>Briežuciema komunālā saimniecība - ūdens</t>
  </si>
  <si>
    <t>Lazdulejas komunālā saimniecība - ūdens</t>
  </si>
  <si>
    <t>Bērzkalnes komunālā saimniecība - notekūdeņu apsaimniekošana</t>
  </si>
  <si>
    <t>Briežuciema komunālā saimniecība - notekūdeņu apsaimniekošana</t>
  </si>
  <si>
    <t>Lazdulejas komunālā saimniecība - notekūdeņu apsaimniekošana</t>
  </si>
  <si>
    <t>Vīksnas komunālā saimniecība-notekūdenu apsaimniekošana</t>
  </si>
  <si>
    <t>Briežuciema komunālā saimniecība -notekūdeņu apsaimniekošana</t>
  </si>
  <si>
    <t>Vīksnas komunālā saimniecība -notekūdeņu apsaimniekošana</t>
  </si>
  <si>
    <t>Vīksnas komunālā saimniecība - ūdens</t>
  </si>
  <si>
    <t>Bērzkalnes komunālā saimniecība -notekūdeņu apsaimniekošana</t>
  </si>
  <si>
    <t>Tilžas pamatskolas Tilžas pirmsskolas grupas</t>
  </si>
  <si>
    <t>Tilžas pamatskolas Vectilžas pirmsskolas grupas</t>
  </si>
  <si>
    <t>Autoceļu (ielu) uzturēšanas līdzekļu rezerves fonds</t>
  </si>
  <si>
    <t>Balvu pilsētas stadiona rekonstrukcija</t>
  </si>
  <si>
    <t>Baltinavas pagasta teritorijas apsaimniekošana</t>
  </si>
  <si>
    <t>Izdevumi periodikas iegādei bibliotēku krājumiem</t>
  </si>
  <si>
    <t>Skolēnu pārvadāšana Susāju pārvalde</t>
  </si>
  <si>
    <t>Atalgojums</t>
  </si>
  <si>
    <t>DDVSAOI</t>
  </si>
  <si>
    <t>Viļakas vidusskola</t>
  </si>
  <si>
    <t>Balvu novada pašvaldības pamatbudžets 2024.gadam ( EUR)</t>
  </si>
  <si>
    <t>Apstiprināts 2024. gadam (EUR)</t>
  </si>
  <si>
    <t>Tehniskā aprīkojuma iegāde virssemes ūdeņu kvalitātes uzlabošanai</t>
  </si>
  <si>
    <t>Līdzfinansējums"Dabas lieguma Stompaku purvi" dabas aizsardzības plāna  aktualizēšana</t>
  </si>
  <si>
    <t>18.6.4.1.</t>
  </si>
  <si>
    <t>Papildus valsts dotācija pašvaldībām ar zemiem ienākumiem</t>
  </si>
  <si>
    <t>Balvu Profesionālā un vispārizglītojošā vidusskola Vidzemes iela 26</t>
  </si>
  <si>
    <t>Pašvaldības līdzdalības budžets</t>
  </si>
  <si>
    <t>Balvu pilsētas labiekārtošana</t>
  </si>
  <si>
    <t>Tehniskā aprīkojuma iegāde virszemes ūdeņu kvalitātes uzlabošanai</t>
  </si>
  <si>
    <t>Dotācija no līdzekļiem neparedzētiem gadījumiem atskurbtuves uzturēšanai</t>
  </si>
  <si>
    <t>Erasmus + projekts Play, Learn, Act, Ensure Sustainable Development Viļakas vidusskola</t>
  </si>
  <si>
    <t>Eglaines pamatskolas pirmsskolas grupas</t>
  </si>
  <si>
    <t>Rugāju vidusskolas pirmsskolas grupas</t>
  </si>
  <si>
    <t>Lazdulejas komunālā saimniecība.</t>
  </si>
  <si>
    <t>Lazdukalna pagasta apgaismojuma un autoceļu (ielu) uzturēšana</t>
  </si>
  <si>
    <t>Rubeņu tautas nams</t>
  </si>
  <si>
    <t>21.3.9.7</t>
  </si>
  <si>
    <t>Budžeta iestādes saņemtā atlīdzība no apdrošināšanas sabiedrības par bojātu nekustamo īpašumu un kustamo mantu</t>
  </si>
  <si>
    <t>Namateriālās kultūras mantojuma centrs "Upīte"</t>
  </si>
  <si>
    <t>Viļakas  vidusskolas pirmsskolas grupa</t>
  </si>
  <si>
    <t>8 Starptaustiskais mākslas plenērs "Valdis Bušs 2024"</t>
  </si>
  <si>
    <t>Kubulu ciema ielu pārbūve</t>
  </si>
  <si>
    <t>"Par Balvu novada pašvaldības 2024.gada budžetu"</t>
  </si>
  <si>
    <t>Balvu novada pašvaldības 2024.gada  pamatbudžeta izdevumi atbilstoši ekonomiskajām kategorijām (EUR)</t>
  </si>
  <si>
    <t>Apstiprināts 2024.gadam (EUR)</t>
  </si>
  <si>
    <t>Balvu novada pašvaldības pamatbudžeta izdevumi 2024.gadam (EUR)</t>
  </si>
  <si>
    <t>Balvu novada pašvaldības pamatbudžeta ieņēmumi 2024.gadam (EUR)</t>
  </si>
  <si>
    <t>18.6.2.0.27</t>
  </si>
  <si>
    <t>Algotie sabiedriskie darbi</t>
  </si>
  <si>
    <t xml:space="preserve">ERASMUS+ projekts Nr. 2023-1-LV02-KA154-YOU-000127946  "Uzdrīksties redzēt plašāk" Rugāju vidusskola </t>
  </si>
  <si>
    <t xml:space="preserve">Pansionāts "Balvi" </t>
  </si>
  <si>
    <t>Projekts ERASMUS+ 
Nr. 2023-1-LV01-KA121-SCH-000125225 Rugāju vidusskola</t>
  </si>
  <si>
    <t>Projekts ERASMUS+
Nr. 2023-1-LV01-KA121-SCH-000125225 Rugāju vidusskola</t>
  </si>
  <si>
    <t>ERASMUS+ projekts Rugāju vidusskola Nr. 2023-1-LV01-KA121-SCH-000125225</t>
  </si>
  <si>
    <t>Lazdukalna pagasta komunālā saimniecība-ūdens</t>
  </si>
  <si>
    <t xml:space="preserve">Tilžas pagasta komunālā saimniecība </t>
  </si>
  <si>
    <t xml:space="preserve">Baltinavas pagasta pārvalde </t>
  </si>
  <si>
    <t xml:space="preserve">Sporta pasākumi novadā </t>
  </si>
  <si>
    <t>Projekts "Militārais mantojums II"</t>
  </si>
  <si>
    <t>Projekts "Green Youth Emprower"</t>
  </si>
  <si>
    <t xml:space="preserve">Balvu Profesionālā un vispārizglītojošā vidusskola </t>
  </si>
  <si>
    <t xml:space="preserve">Vīksnas pagasta komunālā saimniecība </t>
  </si>
  <si>
    <t xml:space="preserve">Sporta skolas peldbaseins </t>
  </si>
  <si>
    <t xml:space="preserve">Balvu sākumskola </t>
  </si>
  <si>
    <t xml:space="preserve">Rekavas vidusskola </t>
  </si>
  <si>
    <t xml:space="preserve">Baltinavas Mūzikas un mākslas skola </t>
  </si>
  <si>
    <t xml:space="preserve">Šķilbēnu pagasta teritorijas apsaimniekošana </t>
  </si>
  <si>
    <t xml:space="preserve">Viļakas Mūzikas un mākslas skola </t>
  </si>
  <si>
    <t>Briežuciema komunālā saimniecība</t>
  </si>
  <si>
    <t xml:space="preserve">Balvu Kultūras un atpūtas centrs </t>
  </si>
  <si>
    <t xml:space="preserve">Baltinavas kultūras nams </t>
  </si>
  <si>
    <t xml:space="preserve">Balvu Novada muzejs </t>
  </si>
  <si>
    <t xml:space="preserve">P/A SAN-TEX </t>
  </si>
  <si>
    <t>Sociālās mājas</t>
  </si>
  <si>
    <t xml:space="preserve">Bērzpils pamatskola </t>
  </si>
  <si>
    <t>Balvu Profesionālā un vispārizglītojošā vidusskolas tālākizglītības centrs  Brīvības 47</t>
  </si>
  <si>
    <t xml:space="preserve">Bērzkalnes pagasta komunālā saimniecība </t>
  </si>
  <si>
    <t xml:space="preserve">Kupravas pagasta komunālā saimniecība </t>
  </si>
  <si>
    <t xml:space="preserve">Šķilbēnu pagasta komunālā saimniecība </t>
  </si>
  <si>
    <t xml:space="preserve">Vecumu komunālā saimniecība </t>
  </si>
  <si>
    <t xml:space="preserve">Sociālā pārvalde </t>
  </si>
  <si>
    <t xml:space="preserve">Balvu Centrālā bibliotēka </t>
  </si>
  <si>
    <t>Balvu kultūras un atpūtas centra kultūras pasākumi</t>
  </si>
  <si>
    <t xml:space="preserve">Kultūrvēsturiskā lauku sēta "Vēršukalns" </t>
  </si>
  <si>
    <t xml:space="preserve">Skolēnu pārvadāšana Susāju pagasta pārvalde </t>
  </si>
  <si>
    <t xml:space="preserve">Skolēnu pārvadāšana Šķilbēnu pagasta pārvalde </t>
  </si>
  <si>
    <t xml:space="preserve">Skolēnu pārvadāšana Viļakā </t>
  </si>
  <si>
    <t xml:space="preserve">Rugāju pagasta komunālā saimniecība </t>
  </si>
  <si>
    <t xml:space="preserve">Viļakas pilsētas labiekārtošana </t>
  </si>
  <si>
    <t xml:space="preserve">Balkanu Dabas parks </t>
  </si>
  <si>
    <t xml:space="preserve">Viļakas muzejs </t>
  </si>
  <si>
    <t xml:space="preserve">Baltinavas muzejs </t>
  </si>
  <si>
    <t xml:space="preserve">“Remigrācijas atbalsta pasākums – uzņēmējdarbības atbalsts” </t>
  </si>
  <si>
    <t>17.2.0.0</t>
  </si>
  <si>
    <t>Vēlēšanu komisija</t>
  </si>
  <si>
    <t>Līdzfinansējums "Dabas lieguma Stompaku purvi" dabas aizsardzības plāna  aktualizēšana</t>
  </si>
  <si>
    <t xml:space="preserve">Projekts “Remigrācijas atbalsta pasākums – uzņēmējdarbības atbalsts” </t>
  </si>
  <si>
    <t>Vēlēšanu komisijas finansējums balsu skaitīšanai</t>
  </si>
  <si>
    <t>18.6.2.0.28</t>
  </si>
  <si>
    <t>Centrālā bibliotēka saņemtās valsts dotācijas</t>
  </si>
  <si>
    <t>Sociāli pakalpojumi</t>
  </si>
  <si>
    <t>21.0.0.0</t>
  </si>
  <si>
    <t>21.1.0.0</t>
  </si>
  <si>
    <t>Iestādes ieņēmumi no ārvalstu finanšu palīdzības</t>
  </si>
  <si>
    <t>21.1.9.0</t>
  </si>
  <si>
    <t>Ieņēmumi no citu Eiropas Savienības politiku instrumentu līdzfinansēto projektu un pasākumu īstenošanas un citu valstu finanšu palīdzības programmu īstenošanas, saņemtā ārvalstu finanšu palīdzība</t>
  </si>
  <si>
    <t>21.1.0.0.</t>
  </si>
  <si>
    <t>Latvijas neredzīgo biedrība</t>
  </si>
  <si>
    <t>Balvu novada domes</t>
  </si>
  <si>
    <t>2024.gada 25.janvāra saistošajiem noteikumiem Nr.1/2024</t>
  </si>
  <si>
    <t>Daudzfunkcionālais  sociālo pakalpojumu centrs</t>
  </si>
  <si>
    <t>Rekavas  komunālā saimniecība notekūdeņi</t>
  </si>
  <si>
    <t>Grozījumi</t>
  </si>
  <si>
    <t>Apstiprināts ar grozījumiem 2024.gadam (EUR)</t>
  </si>
  <si>
    <t>Grozījumi 2024.gada 25.janvāra saistošajiem noteikumiem Nr.1/2024</t>
  </si>
  <si>
    <t>8.3.0.0</t>
  </si>
  <si>
    <t>Ieņēmumi no dividendēm(ieņēmumi no valsts  (pašvaldību) kapitāla izmantošanas</t>
  </si>
  <si>
    <t>Pavisam (EUR)</t>
  </si>
  <si>
    <t>Ieņēmumi no dividendēm (ieņēmumi no valsts  (pašvaldību) kapitāla izmantošanas)</t>
  </si>
  <si>
    <t>18/6/2/0/12</t>
  </si>
  <si>
    <t>Valsts dotācija macību līdzekļu un mācību literatūras iegādei</t>
  </si>
  <si>
    <t xml:space="preserve">Domes priekšsēdētāja vietniece                                                                                              S.Kapteine                                               </t>
  </si>
  <si>
    <t>Domes priekšsēdētāja vietniece                                                                                              S.Kapteine</t>
  </si>
  <si>
    <t>Domes priekšsēdētāja vietniece                                                                                                    S.Kapteine</t>
  </si>
  <si>
    <t>Domes priekšsēdētāja vietniece                                                                       S.Kapteine</t>
  </si>
  <si>
    <t>2024.gada 25.jūlija saistošajiem noteikumiem Nr.13/2024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</si>
</sst>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u val="single"/>
      <sz val="12"/>
      <color indexed="8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3"/>
      <name val="Times New Roman"/>
      <family val="1"/>
      <charset val="186"/>
    </font>
    <font>
      <sz val="13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i/>
      <sz val="11"/>
      <name val="Calibri"/>
      <family val="2"/>
      <charset val="186"/>
      <scheme val="minor"/>
    </font>
    <font>
      <b/>
      <sz val="16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rgb="FF00B0F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3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0" applyFont="1" applyAlignment="1">
      <alignment vertical="top"/>
    </xf>
    <xf numFmtId="1" fontId="7" fillId="0" borderId="0" xfId="0" applyNumberFormat="1" applyFont="1" applyAlignment="1">
      <alignment vertical="top"/>
    </xf>
    <xf numFmtId="0" fontId="10" fillId="0" borderId="0" xfId="0" applyFont="1"/>
    <xf numFmtId="0" fontId="13" fillId="0" borderId="0" xfId="0" applyFont="1"/>
    <xf numFmtId="0" fontId="13" fillId="2" borderId="0" xfId="0" applyFont="1" applyFill="1"/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left" wrapText="1"/>
      <protection locked="0"/>
    </xf>
    <xf numFmtId="3" fontId="12" fillId="2" borderId="3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 applyProtection="1">
      <alignment horizontal="left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3" fontId="13" fillId="2" borderId="3" xfId="0" applyNumberFormat="1" applyFont="1" applyFill="1" applyBorder="1" applyAlignment="1" applyProtection="1">
      <alignment horizontal="center" wrapText="1"/>
      <protection locked="0"/>
    </xf>
    <xf numFmtId="0" fontId="12" fillId="0" borderId="3" xfId="0" applyFont="1" applyBorder="1" applyAlignment="1">
      <alignment horizontal="left" wrapText="1"/>
    </xf>
    <xf numFmtId="3" fontId="12" fillId="2" borderId="3" xfId="0" applyNumberFormat="1" applyFont="1" applyFill="1" applyBorder="1" applyAlignment="1">
      <alignment horizontal="center" wrapText="1"/>
    </xf>
    <xf numFmtId="0" fontId="13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center" wrapText="1"/>
    </xf>
    <xf numFmtId="3" fontId="13" fillId="2" borderId="3" xfId="0" applyNumberFormat="1" applyFont="1" applyFill="1" applyBorder="1" applyAlignment="1">
      <alignment horizontal="center" wrapText="1"/>
    </xf>
    <xf numFmtId="49" fontId="13" fillId="0" borderId="7" xfId="0" applyNumberFormat="1" applyFont="1" applyBorder="1" applyAlignment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3" fontId="12" fillId="2" borderId="3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13" fillId="0" borderId="3" xfId="0" applyFont="1" applyBorder="1"/>
    <xf numFmtId="3" fontId="13" fillId="2" borderId="3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4" fillId="0" borderId="0" xfId="0" applyFont="1"/>
    <xf numFmtId="3" fontId="3" fillId="2" borderId="3" xfId="0" applyNumberFormat="1" applyFont="1" applyFill="1" applyBorder="1" applyAlignment="1">
      <alignment horizontal="center"/>
    </xf>
    <xf numFmtId="3" fontId="9" fillId="0" borderId="3" xfId="0" applyNumberFormat="1" applyFont="1" applyBorder="1"/>
    <xf numFmtId="3" fontId="2" fillId="0" borderId="3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8" fillId="0" borderId="0" xfId="0" applyFont="1"/>
    <xf numFmtId="3" fontId="9" fillId="0" borderId="3" xfId="0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/>
    <xf numFmtId="3" fontId="2" fillId="0" borderId="3" xfId="0" applyNumberFormat="1" applyFont="1" applyBorder="1" applyAlignment="1">
      <alignment horizontal="right"/>
    </xf>
    <xf numFmtId="0" fontId="0" fillId="0" borderId="3" xfId="0" applyBorder="1"/>
    <xf numFmtId="2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3" fontId="3" fillId="0" borderId="3" xfId="0" applyNumberFormat="1" applyFont="1" applyBorder="1" applyAlignment="1">
      <alignment horizontal="right"/>
    </xf>
    <xf numFmtId="43" fontId="3" fillId="0" borderId="3" xfId="18" applyFont="1" applyFill="1" applyBorder="1" applyAlignment="1">
      <alignment horizontal="center" vertical="top"/>
    </xf>
    <xf numFmtId="3" fontId="5" fillId="0" borderId="3" xfId="0" applyNumberFormat="1" applyFont="1" applyBorder="1"/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19" fillId="0" borderId="0" xfId="0" applyFont="1"/>
    <xf numFmtId="3" fontId="0" fillId="0" borderId="0" xfId="0" applyNumberFormat="1"/>
    <xf numFmtId="0" fontId="9" fillId="0" borderId="0" xfId="0" applyFont="1"/>
    <xf numFmtId="0" fontId="27" fillId="0" borderId="0" xfId="0" applyFont="1"/>
    <xf numFmtId="1" fontId="8" fillId="0" borderId="0" xfId="0" applyNumberFormat="1" applyFont="1"/>
    <xf numFmtId="0" fontId="9" fillId="0" borderId="3" xfId="0" applyFont="1" applyBorder="1" applyAlignment="1">
      <alignment horizontal="center"/>
    </xf>
    <xf numFmtId="0" fontId="28" fillId="0" borderId="0" xfId="0" applyFont="1"/>
    <xf numFmtId="3" fontId="8" fillId="0" borderId="0" xfId="0" applyNumberFormat="1" applyFont="1"/>
    <xf numFmtId="0" fontId="11" fillId="0" borderId="3" xfId="0" applyFont="1" applyBorder="1" applyAlignment="1">
      <alignment horizontal="center" vertical="top"/>
    </xf>
    <xf numFmtId="0" fontId="11" fillId="0" borderId="3" xfId="0" applyFont="1" applyBorder="1"/>
    <xf numFmtId="0" fontId="9" fillId="0" borderId="3" xfId="0" applyFont="1" applyBorder="1"/>
    <xf numFmtId="0" fontId="11" fillId="0" borderId="3" xfId="0" applyFont="1" applyBorder="1" applyAlignment="1">
      <alignment wrapText="1"/>
    </xf>
    <xf numFmtId="0" fontId="17" fillId="0" borderId="0" xfId="0" applyFont="1"/>
    <xf numFmtId="0" fontId="20" fillId="0" borderId="0" xfId="0" applyFont="1"/>
    <xf numFmtId="0" fontId="25" fillId="0" borderId="0" xfId="0" applyFont="1"/>
    <xf numFmtId="3" fontId="29" fillId="0" borderId="3" xfId="0" applyNumberFormat="1" applyFont="1" applyBorder="1"/>
    <xf numFmtId="3" fontId="29" fillId="0" borderId="3" xfId="0" applyNumberFormat="1" applyFont="1" applyBorder="1" applyAlignment="1">
      <alignment horizontal="right" wrapText="1"/>
    </xf>
    <xf numFmtId="1" fontId="9" fillId="0" borderId="3" xfId="0" applyNumberFormat="1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wrapText="1"/>
    </xf>
    <xf numFmtId="3" fontId="2" fillId="2" borderId="3" xfId="0" applyNumberFormat="1" applyFont="1" applyFill="1" applyBorder="1"/>
    <xf numFmtId="3" fontId="29" fillId="2" borderId="3" xfId="0" applyNumberFormat="1" applyFont="1" applyFill="1" applyBorder="1"/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/>
    <xf numFmtId="0" fontId="11" fillId="2" borderId="3" xfId="0" applyFont="1" applyFill="1" applyBorder="1"/>
    <xf numFmtId="0" fontId="11" fillId="2" borderId="3" xfId="0" applyFont="1" applyFill="1" applyBorder="1" applyAlignment="1">
      <alignment wrapText="1"/>
    </xf>
    <xf numFmtId="3" fontId="11" fillId="2" borderId="3" xfId="0" applyNumberFormat="1" applyFont="1" applyFill="1" applyBorder="1"/>
    <xf numFmtId="3" fontId="9" fillId="2" borderId="3" xfId="0" applyNumberFormat="1" applyFont="1" applyFill="1" applyBorder="1"/>
    <xf numFmtId="3" fontId="19" fillId="0" borderId="0" xfId="0" applyNumberFormat="1" applyFont="1"/>
    <xf numFmtId="0" fontId="11" fillId="0" borderId="0" xfId="0" applyFont="1" applyAlignment="1">
      <alignment horizontal="center"/>
    </xf>
    <xf numFmtId="0" fontId="8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/>
    </xf>
    <xf numFmtId="0" fontId="11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left" wrapText="1"/>
    </xf>
    <xf numFmtId="0" fontId="8" fillId="0" borderId="8" xfId="0" applyFont="1" applyBorder="1" applyAlignment="1">
      <alignment vertical="center" wrapText="1"/>
    </xf>
    <xf numFmtId="0" fontId="8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left" wrapText="1"/>
    </xf>
    <xf numFmtId="3" fontId="18" fillId="2" borderId="3" xfId="0" applyNumberFormat="1" applyFont="1" applyFill="1" applyBorder="1"/>
    <xf numFmtId="0" fontId="30" fillId="2" borderId="3" xfId="0" applyFont="1" applyFill="1" applyBorder="1"/>
    <xf numFmtId="0" fontId="8" fillId="2" borderId="0" xfId="0" applyFont="1" applyFill="1"/>
    <xf numFmtId="0" fontId="7" fillId="2" borderId="0" xfId="0" applyFont="1" applyFill="1" applyAlignment="1">
      <alignment vertical="top"/>
    </xf>
    <xf numFmtId="0" fontId="27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1" fontId="2" fillId="2" borderId="0" xfId="0" applyNumberFormat="1" applyFont="1" applyFill="1"/>
    <xf numFmtId="3" fontId="11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/>
    <xf numFmtId="3" fontId="7" fillId="2" borderId="0" xfId="0" applyNumberFormat="1" applyFont="1" applyFill="1" applyAlignment="1">
      <alignment vertical="top"/>
    </xf>
    <xf numFmtId="0" fontId="31" fillId="0" borderId="3" xfId="0" applyFont="1" applyBorder="1" applyAlignment="1">
      <alignment horizontal="center" vertical="top" wrapText="1"/>
    </xf>
    <xf numFmtId="3" fontId="31" fillId="2" borderId="3" xfId="0" applyNumberFormat="1" applyFont="1" applyFill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0" fontId="31" fillId="2" borderId="3" xfId="0" applyFont="1" applyFill="1" applyBorder="1" applyAlignment="1">
      <alignment horizontal="center" vertical="top" wrapText="1"/>
    </xf>
    <xf numFmtId="0" fontId="31" fillId="2" borderId="3" xfId="0" applyFont="1" applyFill="1" applyBorder="1" applyAlignment="1">
      <alignment horizontal="center" wrapText="1"/>
    </xf>
    <xf numFmtId="3" fontId="32" fillId="2" borderId="3" xfId="0" applyNumberFormat="1" applyFont="1" applyFill="1" applyBorder="1" applyAlignment="1">
      <alignment horizontal="center" wrapText="1"/>
    </xf>
    <xf numFmtId="3" fontId="9" fillId="2" borderId="3" xfId="0" applyNumberFormat="1" applyFont="1" applyFill="1" applyBorder="1" applyAlignment="1">
      <alignment horizontal="center"/>
    </xf>
    <xf numFmtId="0" fontId="31" fillId="0" borderId="3" xfId="0" applyFont="1" applyBorder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0" fontId="31" fillId="2" borderId="8" xfId="0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3" fontId="9" fillId="0" borderId="8" xfId="0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11" xfId="0" applyNumberFormat="1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center" wrapText="1"/>
    </xf>
    <xf numFmtId="0" fontId="31" fillId="0" borderId="3" xfId="0" applyFont="1" applyBorder="1" applyAlignment="1">
      <alignment horizontal="center" vertical="top"/>
    </xf>
    <xf numFmtId="3" fontId="11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9" fillId="0" borderId="3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 wrapText="1"/>
    </xf>
    <xf numFmtId="0" fontId="31" fillId="2" borderId="13" xfId="0" applyFont="1" applyFill="1" applyBorder="1" applyAlignment="1">
      <alignment horizontal="center" vertical="center" wrapText="1"/>
    </xf>
    <xf numFmtId="3" fontId="31" fillId="2" borderId="2" xfId="0" applyNumberFormat="1" applyFont="1" applyFill="1" applyBorder="1" applyAlignment="1">
      <alignment horizontal="center" wrapText="1"/>
    </xf>
    <xf numFmtId="0" fontId="31" fillId="0" borderId="3" xfId="0" applyFont="1" applyBorder="1" applyAlignment="1">
      <alignment horizontal="center" vertical="center" wrapText="1"/>
    </xf>
    <xf numFmtId="0" fontId="19" fillId="2" borderId="0" xfId="0" applyFont="1" applyFill="1"/>
    <xf numFmtId="0" fontId="21" fillId="2" borderId="0" xfId="0" applyFont="1" applyFill="1"/>
    <xf numFmtId="0" fontId="11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left"/>
    </xf>
    <xf numFmtId="0" fontId="18" fillId="2" borderId="3" xfId="0" applyFont="1" applyFill="1" applyBorder="1"/>
    <xf numFmtId="49" fontId="11" fillId="2" borderId="3" xfId="0" applyNumberFormat="1" applyFont="1" applyFill="1" applyBorder="1"/>
    <xf numFmtId="0" fontId="23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22" fillId="2" borderId="0" xfId="0" applyFont="1" applyFill="1"/>
    <xf numFmtId="0" fontId="7" fillId="2" borderId="3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wrapText="1"/>
    </xf>
    <xf numFmtId="3" fontId="9" fillId="2" borderId="0" xfId="0" applyNumberFormat="1" applyFont="1" applyFill="1" applyAlignment="1">
      <alignment horizontal="center" wrapText="1"/>
    </xf>
    <xf numFmtId="3" fontId="2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 wrapText="1"/>
    </xf>
    <xf numFmtId="3" fontId="9" fillId="2" borderId="3" xfId="0" applyNumberFormat="1" applyFont="1" applyFill="1" applyBorder="1" applyAlignment="1">
      <alignment horizontal="center" wrapText="1"/>
    </xf>
    <xf numFmtId="3" fontId="9" fillId="2" borderId="15" xfId="0" applyNumberFormat="1" applyFont="1" applyFill="1" applyBorder="1" applyAlignment="1">
      <alignment horizontal="center" wrapText="1"/>
    </xf>
    <xf numFmtId="3" fontId="9" fillId="2" borderId="13" xfId="0" applyNumberFormat="1" applyFont="1" applyFill="1" applyBorder="1" applyAlignment="1">
      <alignment horizontal="center" wrapText="1"/>
    </xf>
    <xf numFmtId="1" fontId="7" fillId="2" borderId="0" xfId="0" applyNumberFormat="1" applyFont="1" applyFill="1" applyAlignment="1">
      <alignment vertical="top"/>
    </xf>
    <xf numFmtId="1" fontId="8" fillId="2" borderId="0" xfId="0" applyNumberFormat="1" applyFont="1" applyFill="1"/>
    <xf numFmtId="3" fontId="8" fillId="2" borderId="0" xfId="0" applyNumberFormat="1" applyFont="1" applyFill="1"/>
    <xf numFmtId="0" fontId="21" fillId="2" borderId="0" xfId="0" applyFont="1" applyFill="1" applyAlignment="1">
      <alignment horizontal="right"/>
    </xf>
    <xf numFmtId="0" fontId="21" fillId="2" borderId="0" xfId="0" applyFont="1" applyFill="1" applyAlignment="1">
      <alignment horizontal="center"/>
    </xf>
    <xf numFmtId="0" fontId="18" fillId="2" borderId="3" xfId="0" applyFont="1" applyFill="1" applyBorder="1" applyAlignment="1">
      <alignment wrapText="1"/>
    </xf>
    <xf numFmtId="3" fontId="9" fillId="2" borderId="3" xfId="0" applyNumberFormat="1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49" fontId="11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12" fillId="0" borderId="3" xfId="0" applyFont="1" applyBorder="1" applyAlignment="1">
      <alignment horizontal="center" vertical="center"/>
    </xf>
    <xf numFmtId="3" fontId="13" fillId="0" borderId="3" xfId="0" applyNumberFormat="1" applyFont="1" applyBorder="1"/>
    <xf numFmtId="0" fontId="15" fillId="0" borderId="3" xfId="0" applyFont="1" applyBorder="1"/>
    <xf numFmtId="0" fontId="16" fillId="0" borderId="3" xfId="0" applyFont="1" applyBorder="1"/>
    <xf numFmtId="0" fontId="4" fillId="0" borderId="3" xfId="0" applyFont="1" applyBorder="1"/>
    <xf numFmtId="0" fontId="5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3" fontId="11" fillId="2" borderId="4" xfId="0" applyNumberFormat="1" applyFont="1" applyFill="1" applyBorder="1"/>
    <xf numFmtId="3" fontId="9" fillId="2" borderId="4" xfId="0" applyNumberFormat="1" applyFont="1" applyFill="1" applyBorder="1"/>
    <xf numFmtId="3" fontId="18" fillId="2" borderId="4" xfId="0" applyNumberFormat="1" applyFont="1" applyFill="1" applyBorder="1"/>
    <xf numFmtId="0" fontId="31" fillId="2" borderId="3" xfId="0" applyFont="1" applyFill="1" applyBorder="1"/>
    <xf numFmtId="3" fontId="7" fillId="0" borderId="3" xfId="0" applyNumberFormat="1" applyFont="1" applyBorder="1"/>
    <xf numFmtId="0" fontId="18" fillId="0" borderId="3" xfId="0" applyFont="1" applyBorder="1"/>
    <xf numFmtId="0" fontId="5" fillId="0" borderId="3" xfId="0" applyFont="1" applyBorder="1"/>
    <xf numFmtId="0" fontId="3" fillId="2" borderId="3" xfId="0" applyFont="1" applyFill="1" applyBorder="1"/>
    <xf numFmtId="0" fontId="5" fillId="2" borderId="3" xfId="0" applyFont="1" applyFill="1" applyBorder="1"/>
    <xf numFmtId="0" fontId="31" fillId="0" borderId="3" xfId="0" applyFont="1" applyBorder="1"/>
    <xf numFmtId="3" fontId="8" fillId="0" borderId="3" xfId="0" applyNumberFormat="1" applyFont="1" applyBorder="1"/>
    <xf numFmtId="3" fontId="2" fillId="0" borderId="0" xfId="0" applyNumberFormat="1" applyFont="1" applyAlignment="1">
      <alignment horizontal="center" wrapText="1"/>
    </xf>
    <xf numFmtId="3" fontId="12" fillId="0" borderId="3" xfId="0" applyNumberFormat="1" applyFont="1" applyBorder="1"/>
    <xf numFmtId="0" fontId="9" fillId="0" borderId="0" xfId="0" applyFont="1" applyAlignment="1">
      <alignment wrapText="1"/>
    </xf>
    <xf numFmtId="0" fontId="9" fillId="0" borderId="16" xfId="0" applyFont="1" applyBorder="1" applyAlignment="1">
      <alignment wrapText="1"/>
    </xf>
    <xf numFmtId="3" fontId="12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31" fillId="3" borderId="3" xfId="0" applyFont="1" applyFill="1" applyBorder="1" applyAlignment="1">
      <alignment horizont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horizontal="center" wrapText="1"/>
    </xf>
    <xf numFmtId="0" fontId="26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8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workbookViewId="0" topLeftCell="A61">
      <selection pane="topLeft" activeCell="I2" sqref="I2"/>
    </sheetView>
  </sheetViews>
  <sheetFormatPr defaultColWidth="9.14428571428571" defaultRowHeight="15.75"/>
  <cols>
    <col min="1" max="1" width="65.7142857142857" style="26" customWidth="1"/>
    <col min="2" max="3" width="13.8571428571429" style="26" customWidth="1"/>
    <col min="4" max="4" width="13.5714285714286" style="26" customWidth="1"/>
    <col min="5" max="5" width="19.5714285714286" style="26" customWidth="1"/>
    <col min="6" max="16384" width="9.14285714285714" style="26"/>
  </cols>
  <sheetData>
    <row r="1" spans="5:5" ht="15.75">
      <c r="E1" s="21" t="s">
        <v>616</v>
      </c>
    </row>
    <row r="2" spans="5:5" ht="15.75">
      <c r="E2" s="19" t="s">
        <v>832</v>
      </c>
    </row>
    <row r="3" spans="5:5" ht="15.75">
      <c r="E3" s="19" t="s">
        <v>849</v>
      </c>
    </row>
    <row r="4" spans="5:5" ht="15.75">
      <c r="E4" s="19" t="s">
        <v>838</v>
      </c>
    </row>
    <row r="6" spans="1:9" ht="15.75">
      <c r="A6" s="20"/>
      <c r="C6" s="20"/>
      <c r="E6" s="21" t="s">
        <v>616</v>
      </c>
      <c r="F6" s="27"/>
      <c r="G6" s="27"/>
      <c r="H6" s="27"/>
      <c r="I6" s="27"/>
    </row>
    <row r="7" spans="1:9" ht="15.75">
      <c r="A7" s="20"/>
      <c r="C7" s="20"/>
      <c r="E7" s="19" t="s">
        <v>832</v>
      </c>
      <c r="F7" s="27"/>
      <c r="G7" s="27"/>
      <c r="H7" s="27"/>
      <c r="I7" s="27"/>
    </row>
    <row r="8" spans="1:12" ht="15.75">
      <c r="A8" s="20"/>
      <c r="C8" s="20"/>
      <c r="E8" s="19" t="s">
        <v>833</v>
      </c>
      <c r="F8" s="27"/>
      <c r="G8" s="27"/>
      <c r="H8" s="27"/>
      <c r="I8" s="27"/>
      <c r="J8" s="20"/>
      <c r="K8" s="20"/>
      <c r="L8" s="20"/>
    </row>
    <row r="9" spans="1:9" ht="15.75">
      <c r="A9" s="20"/>
      <c r="B9" s="19"/>
      <c r="C9" s="20"/>
      <c r="D9" s="19"/>
      <c r="E9" s="19" t="s">
        <v>766</v>
      </c>
      <c r="F9" s="27"/>
      <c r="G9" s="27"/>
      <c r="H9" s="27"/>
      <c r="I9" s="27"/>
    </row>
    <row r="10" s="27" customFormat="1" ht="15" customHeight="1"/>
    <row r="11" spans="1:3" s="27" customFormat="1" ht="15" customHeight="1">
      <c r="A11" s="14" t="s">
        <v>743</v>
      </c>
      <c r="B11" s="14"/>
      <c r="C11" s="14"/>
    </row>
    <row r="12" spans="3:3" s="27" customFormat="1" ht="15" customHeight="1">
      <c r="C12" s="28"/>
    </row>
    <row r="13" spans="1:5" s="27" customFormat="1" ht="52.5" customHeight="1">
      <c r="A13" s="29" t="s">
        <v>617</v>
      </c>
      <c r="B13" s="29" t="s">
        <v>618</v>
      </c>
      <c r="C13" s="30" t="s">
        <v>744</v>
      </c>
      <c r="D13" s="203" t="s">
        <v>836</v>
      </c>
      <c r="E13" s="203" t="s">
        <v>837</v>
      </c>
    </row>
    <row r="14" spans="1:5" s="27" customFormat="1" ht="30" customHeight="1">
      <c r="A14" s="31" t="s">
        <v>619</v>
      </c>
      <c r="B14" s="32"/>
      <c r="C14" s="33">
        <f>C15+C17+C19+C24+C27+C29+C31+C34+C36+C38+C40+C21</f>
        <v>32300459</v>
      </c>
      <c r="D14" s="224">
        <f>D22+D37</f>
        <v>122331</v>
      </c>
      <c r="E14" s="221">
        <f>C14+D14</f>
        <v>32422790</v>
      </c>
    </row>
    <row r="15" spans="1:5" s="34" customFormat="1" ht="15" customHeight="1">
      <c r="A15" s="32" t="s">
        <v>352</v>
      </c>
      <c r="B15" s="32" t="s">
        <v>351</v>
      </c>
      <c r="C15" s="33">
        <f>C16</f>
        <v>11192140</v>
      </c>
      <c r="D15" s="197"/>
      <c r="E15" s="221">
        <f t="shared" si="0" ref="E15:E43">C15+D15</f>
        <v>11192140</v>
      </c>
    </row>
    <row r="16" spans="1:5" s="27" customFormat="1" ht="15" customHeight="1">
      <c r="A16" s="35" t="s">
        <v>620</v>
      </c>
      <c r="B16" s="36" t="s">
        <v>621</v>
      </c>
      <c r="C16" s="37">
        <f>'2.pielikums'!H20</f>
        <v>11192140</v>
      </c>
      <c r="D16" s="49"/>
      <c r="E16" s="198">
        <f t="shared" si="0"/>
        <v>11192140</v>
      </c>
    </row>
    <row r="17" spans="1:5" s="27" customFormat="1" ht="15" customHeight="1">
      <c r="A17" s="38" t="s">
        <v>357</v>
      </c>
      <c r="B17" s="38" t="s">
        <v>356</v>
      </c>
      <c r="C17" s="39">
        <f>C18</f>
        <v>1129985</v>
      </c>
      <c r="D17" s="49"/>
      <c r="E17" s="221">
        <f t="shared" si="0"/>
        <v>1129985</v>
      </c>
    </row>
    <row r="18" spans="1:5" s="27" customFormat="1" ht="15" customHeight="1">
      <c r="A18" s="40" t="s">
        <v>622</v>
      </c>
      <c r="B18" s="41" t="s">
        <v>623</v>
      </c>
      <c r="C18" s="42">
        <f>'2.pielikums'!H23</f>
        <v>1129985</v>
      </c>
      <c r="D18" s="49"/>
      <c r="E18" s="198">
        <f t="shared" si="0"/>
        <v>1129985</v>
      </c>
    </row>
    <row r="19" spans="1:5" s="27" customFormat="1" ht="15" customHeight="1">
      <c r="A19" s="38" t="s">
        <v>624</v>
      </c>
      <c r="B19" s="38" t="s">
        <v>379</v>
      </c>
      <c r="C19" s="39">
        <f>C20</f>
        <v>45000</v>
      </c>
      <c r="D19" s="49"/>
      <c r="E19" s="221">
        <f t="shared" si="0"/>
        <v>45000</v>
      </c>
    </row>
    <row r="20" spans="1:5" s="27" customFormat="1" ht="15" customHeight="1">
      <c r="A20" s="40" t="s">
        <v>625</v>
      </c>
      <c r="B20" s="41" t="s">
        <v>626</v>
      </c>
      <c r="C20" s="42">
        <f>'2.pielikums'!H34</f>
        <v>45000</v>
      </c>
      <c r="D20" s="49"/>
      <c r="E20" s="198">
        <f t="shared" si="0"/>
        <v>45000</v>
      </c>
    </row>
    <row r="21" spans="1:5" s="27" customFormat="1" ht="15" customHeight="1">
      <c r="A21" s="38" t="s">
        <v>627</v>
      </c>
      <c r="B21" s="38" t="s">
        <v>390</v>
      </c>
      <c r="C21" s="39">
        <f>C23</f>
        <v>5000</v>
      </c>
      <c r="D21" s="224">
        <f>D22</f>
        <v>49687</v>
      </c>
      <c r="E21" s="221">
        <f>E23+E22</f>
        <v>54687</v>
      </c>
    </row>
    <row r="22" spans="1:5" s="27" customFormat="1" ht="15" customHeight="1">
      <c r="A22" s="40" t="s">
        <v>840</v>
      </c>
      <c r="B22" s="41" t="s">
        <v>839</v>
      </c>
      <c r="C22" s="42">
        <v>0</v>
      </c>
      <c r="D22" s="207">
        <f>'2.pielikums'!I41</f>
        <v>49687</v>
      </c>
      <c r="E22" s="198">
        <f t="shared" si="0"/>
        <v>49687</v>
      </c>
    </row>
    <row r="23" spans="1:5" s="27" customFormat="1" ht="30" customHeight="1">
      <c r="A23" s="40" t="s">
        <v>393</v>
      </c>
      <c r="B23" s="41" t="s">
        <v>392</v>
      </c>
      <c r="C23" s="42">
        <f>'2.pielikums'!H42</f>
        <v>5000</v>
      </c>
      <c r="D23" s="49"/>
      <c r="E23" s="198">
        <f t="shared" si="0"/>
        <v>5000</v>
      </c>
    </row>
    <row r="24" spans="1:5" s="27" customFormat="1" ht="15" customHeight="1">
      <c r="A24" s="38" t="s">
        <v>395</v>
      </c>
      <c r="B24" s="38" t="s">
        <v>394</v>
      </c>
      <c r="C24" s="39">
        <f>C25+C26</f>
        <v>18140</v>
      </c>
      <c r="D24" s="49"/>
      <c r="E24" s="221">
        <f t="shared" si="0"/>
        <v>18140</v>
      </c>
    </row>
    <row r="25" spans="1:5" s="27" customFormat="1" ht="15" customHeight="1">
      <c r="A25" s="40" t="s">
        <v>628</v>
      </c>
      <c r="B25" s="41" t="s">
        <v>629</v>
      </c>
      <c r="C25" s="42">
        <f>'2.pielikums'!H44</f>
        <v>11690</v>
      </c>
      <c r="D25" s="49"/>
      <c r="E25" s="198">
        <f t="shared" si="0"/>
        <v>11690</v>
      </c>
    </row>
    <row r="26" spans="1:5" s="27" customFormat="1" ht="15" customHeight="1">
      <c r="A26" s="40" t="s">
        <v>630</v>
      </c>
      <c r="B26" s="41" t="s">
        <v>631</v>
      </c>
      <c r="C26" s="42">
        <f>'2.pielikums'!H49</f>
        <v>6450</v>
      </c>
      <c r="D26" s="49"/>
      <c r="E26" s="198">
        <f t="shared" si="0"/>
        <v>6450</v>
      </c>
    </row>
    <row r="27" spans="1:5" s="27" customFormat="1" ht="15" customHeight="1">
      <c r="A27" s="38" t="s">
        <v>419</v>
      </c>
      <c r="B27" s="38" t="s">
        <v>418</v>
      </c>
      <c r="C27" s="39">
        <f>C28</f>
        <v>4000</v>
      </c>
      <c r="D27" s="49"/>
      <c r="E27" s="221">
        <f t="shared" si="0"/>
        <v>4000</v>
      </c>
    </row>
    <row r="28" spans="1:5" s="27" customFormat="1" ht="15" customHeight="1">
      <c r="A28" s="40" t="s">
        <v>632</v>
      </c>
      <c r="B28" s="41" t="s">
        <v>633</v>
      </c>
      <c r="C28" s="42">
        <f>'2.pielikums'!H55</f>
        <v>4000</v>
      </c>
      <c r="D28" s="49"/>
      <c r="E28" s="198">
        <f t="shared" si="0"/>
        <v>4000</v>
      </c>
    </row>
    <row r="29" spans="1:5" s="27" customFormat="1" ht="15" customHeight="1">
      <c r="A29" s="38" t="s">
        <v>429</v>
      </c>
      <c r="B29" s="38" t="s">
        <v>428</v>
      </c>
      <c r="C29" s="39">
        <f>C30</f>
        <v>63969</v>
      </c>
      <c r="D29" s="49"/>
      <c r="E29" s="221">
        <f t="shared" si="0"/>
        <v>63969</v>
      </c>
    </row>
    <row r="30" spans="1:5" s="27" customFormat="1" ht="15" customHeight="1">
      <c r="A30" s="43" t="s">
        <v>634</v>
      </c>
      <c r="B30" s="41" t="s">
        <v>635</v>
      </c>
      <c r="C30" s="42">
        <f>'2.pielikums'!H60</f>
        <v>63969</v>
      </c>
      <c r="D30" s="49"/>
      <c r="E30" s="198">
        <f t="shared" si="0"/>
        <v>63969</v>
      </c>
    </row>
    <row r="31" spans="1:5" s="27" customFormat="1" ht="30" customHeight="1">
      <c r="A31" s="38" t="s">
        <v>636</v>
      </c>
      <c r="B31" s="38" t="s">
        <v>436</v>
      </c>
      <c r="C31" s="39">
        <f>C32+C33</f>
        <v>520000</v>
      </c>
      <c r="D31" s="49"/>
      <c r="E31" s="221">
        <f t="shared" si="0"/>
        <v>520000</v>
      </c>
    </row>
    <row r="32" spans="1:5" s="27" customFormat="1" ht="15" customHeight="1">
      <c r="A32" s="40" t="s">
        <v>637</v>
      </c>
      <c r="B32" s="44" t="s">
        <v>638</v>
      </c>
      <c r="C32" s="42">
        <f>'2.pielikums'!H69</f>
        <v>20000</v>
      </c>
      <c r="D32" s="49"/>
      <c r="E32" s="198">
        <f t="shared" si="0"/>
        <v>20000</v>
      </c>
    </row>
    <row r="33" spans="1:5" s="27" customFormat="1" ht="15" customHeight="1">
      <c r="A33" s="40" t="s">
        <v>639</v>
      </c>
      <c r="B33" s="44" t="s">
        <v>640</v>
      </c>
      <c r="C33" s="42">
        <f>'2.pielikums'!H70</f>
        <v>500000</v>
      </c>
      <c r="D33" s="49"/>
      <c r="E33" s="198">
        <f t="shared" si="0"/>
        <v>500000</v>
      </c>
    </row>
    <row r="34" spans="1:5" s="27" customFormat="1" ht="30" customHeight="1">
      <c r="A34" s="38" t="s">
        <v>641</v>
      </c>
      <c r="B34" s="38" t="s">
        <v>446</v>
      </c>
      <c r="C34" s="39">
        <f>C35</f>
        <v>80900</v>
      </c>
      <c r="D34" s="49"/>
      <c r="E34" s="221">
        <f t="shared" si="0"/>
        <v>80900</v>
      </c>
    </row>
    <row r="35" spans="1:5" s="27" customFormat="1" ht="15" customHeight="1">
      <c r="A35" s="40" t="s">
        <v>642</v>
      </c>
      <c r="B35" s="41" t="s">
        <v>643</v>
      </c>
      <c r="C35" s="42">
        <f>'2.pielikums'!H73</f>
        <v>80900</v>
      </c>
      <c r="D35" s="49"/>
      <c r="E35" s="198">
        <f t="shared" si="0"/>
        <v>80900</v>
      </c>
    </row>
    <row r="36" spans="1:5" s="27" customFormat="1" ht="15" customHeight="1">
      <c r="A36" s="38" t="s">
        <v>644</v>
      </c>
      <c r="B36" s="38" t="s">
        <v>451</v>
      </c>
      <c r="C36" s="39">
        <f>C37</f>
        <v>13926515</v>
      </c>
      <c r="D36" s="224">
        <f>D37</f>
        <v>72644</v>
      </c>
      <c r="E36" s="221">
        <f>C36+D37</f>
        <v>13999159</v>
      </c>
    </row>
    <row r="37" spans="1:5" s="27" customFormat="1" ht="15" customHeight="1">
      <c r="A37" s="40" t="s">
        <v>645</v>
      </c>
      <c r="B37" s="41" t="s">
        <v>646</v>
      </c>
      <c r="C37" s="42">
        <f>'2.pielikums'!H76</f>
        <v>13926515</v>
      </c>
      <c r="D37" s="207">
        <f>'2.pielikums'!I77</f>
        <v>72644</v>
      </c>
      <c r="E37" s="198">
        <f>C37+D37</f>
        <v>13999159</v>
      </c>
    </row>
    <row r="38" spans="1:5" s="27" customFormat="1" ht="15" customHeight="1">
      <c r="A38" s="38" t="s">
        <v>701</v>
      </c>
      <c r="B38" s="38" t="s">
        <v>702</v>
      </c>
      <c r="C38" s="39">
        <f>C39</f>
        <v>115000</v>
      </c>
      <c r="D38" s="49"/>
      <c r="E38" s="221">
        <f t="shared" si="0"/>
        <v>115000</v>
      </c>
    </row>
    <row r="39" spans="1:5" s="27" customFormat="1" ht="15" customHeight="1">
      <c r="A39" s="40" t="s">
        <v>703</v>
      </c>
      <c r="B39" s="41" t="s">
        <v>704</v>
      </c>
      <c r="C39" s="42">
        <f>'2.pielikums'!H137</f>
        <v>115000</v>
      </c>
      <c r="D39" s="49"/>
      <c r="E39" s="198">
        <f t="shared" si="0"/>
        <v>115000</v>
      </c>
    </row>
    <row r="40" spans="1:5" s="27" customFormat="1" ht="15" customHeight="1">
      <c r="A40" s="38" t="s">
        <v>647</v>
      </c>
      <c r="B40" s="38" t="s">
        <v>648</v>
      </c>
      <c r="C40" s="39">
        <f>SUM(C41:C43)</f>
        <v>5199810</v>
      </c>
      <c r="D40" s="49"/>
      <c r="E40" s="221">
        <f t="shared" si="0"/>
        <v>5199810</v>
      </c>
    </row>
    <row r="41" spans="1:5" s="27" customFormat="1" ht="15" customHeight="1">
      <c r="A41" s="40" t="s">
        <v>827</v>
      </c>
      <c r="B41" s="41" t="s">
        <v>830</v>
      </c>
      <c r="C41" s="42">
        <f>'2.pielikums'!H140</f>
        <v>169672</v>
      </c>
      <c r="D41" s="49"/>
      <c r="E41" s="198">
        <f t="shared" si="0"/>
        <v>169672</v>
      </c>
    </row>
    <row r="42" spans="1:5" s="27" customFormat="1" ht="30" customHeight="1">
      <c r="A42" s="40" t="s">
        <v>649</v>
      </c>
      <c r="B42" s="41" t="s">
        <v>650</v>
      </c>
      <c r="C42" s="42">
        <f>'2.pielikums'!H142</f>
        <v>4955138</v>
      </c>
      <c r="D42" s="49"/>
      <c r="E42" s="198">
        <f t="shared" si="0"/>
        <v>4955138</v>
      </c>
    </row>
    <row r="43" spans="1:5" s="27" customFormat="1" ht="30" customHeight="1">
      <c r="A43" s="40" t="s">
        <v>651</v>
      </c>
      <c r="B43" s="41" t="s">
        <v>652</v>
      </c>
      <c r="C43" s="42">
        <f>'2.pielikums'!H427</f>
        <v>75000</v>
      </c>
      <c r="D43" s="49"/>
      <c r="E43" s="198">
        <f t="shared" si="0"/>
        <v>75000</v>
      </c>
    </row>
    <row r="44" spans="1:5" s="27" customFormat="1" ht="30" customHeight="1">
      <c r="A44" s="45" t="s">
        <v>653</v>
      </c>
      <c r="B44" s="38" t="s">
        <v>654</v>
      </c>
      <c r="C44" s="46">
        <f>C45</f>
        <v>35113278</v>
      </c>
      <c r="D44" s="224">
        <f>D45</f>
        <v>122331</v>
      </c>
      <c r="E44" s="221">
        <f>E45</f>
        <v>35235609.230000004</v>
      </c>
    </row>
    <row r="45" spans="1:5" s="27" customFormat="1" ht="30" customHeight="1">
      <c r="A45" s="47" t="s">
        <v>655</v>
      </c>
      <c r="B45" s="48"/>
      <c r="C45" s="46">
        <f>SUM(C46:C54)</f>
        <v>35113278</v>
      </c>
      <c r="D45" s="46">
        <f>SUM(D46:D54)</f>
        <v>122331</v>
      </c>
      <c r="E45" s="221">
        <f>SUM(E46:E54)</f>
        <v>35235609.230000004</v>
      </c>
    </row>
    <row r="46" spans="1:5" s="27" customFormat="1" ht="15" customHeight="1">
      <c r="A46" s="38" t="s">
        <v>272</v>
      </c>
      <c r="B46" s="38" t="s">
        <v>271</v>
      </c>
      <c r="C46" s="46">
        <f>'3.pielikums'!H18</f>
        <v>3733632</v>
      </c>
      <c r="D46" s="49"/>
      <c r="E46" s="221">
        <f t="shared" si="1" ref="E46:E73">C46</f>
        <v>3733632</v>
      </c>
    </row>
    <row r="47" spans="1:5" s="27" customFormat="1" ht="15" customHeight="1">
      <c r="A47" s="38" t="s">
        <v>275</v>
      </c>
      <c r="B47" s="38" t="s">
        <v>274</v>
      </c>
      <c r="C47" s="46">
        <f>'3.pielikums'!H50</f>
        <v>322694</v>
      </c>
      <c r="D47" s="49"/>
      <c r="E47" s="221">
        <f t="shared" si="1"/>
        <v>322694</v>
      </c>
    </row>
    <row r="48" spans="1:5" s="27" customFormat="1" ht="15" customHeight="1">
      <c r="A48" s="38" t="s">
        <v>277</v>
      </c>
      <c r="B48" s="38" t="s">
        <v>276</v>
      </c>
      <c r="C48" s="46">
        <f>'3.pielikums'!H54</f>
        <v>2178501</v>
      </c>
      <c r="D48" s="49"/>
      <c r="E48" s="221">
        <f t="shared" si="1"/>
        <v>2178501</v>
      </c>
    </row>
    <row r="49" spans="1:5" s="27" customFormat="1" ht="15" customHeight="1">
      <c r="A49" s="38" t="s">
        <v>282</v>
      </c>
      <c r="B49" s="38" t="s">
        <v>281</v>
      </c>
      <c r="C49" s="46">
        <f>'3.pielikums'!H87</f>
        <v>192262</v>
      </c>
      <c r="D49" s="49"/>
      <c r="E49" s="221">
        <f t="shared" si="1"/>
        <v>192262</v>
      </c>
    </row>
    <row r="50" spans="1:5" s="27" customFormat="1" ht="15" customHeight="1">
      <c r="A50" s="38" t="s">
        <v>656</v>
      </c>
      <c r="B50" s="38" t="s">
        <v>283</v>
      </c>
      <c r="C50" s="46">
        <v>5113984</v>
      </c>
      <c r="D50" s="207">
        <v>49687</v>
      </c>
      <c r="E50" s="221">
        <f>'3.pielikums'!H110</f>
        <v>5163671.25</v>
      </c>
    </row>
    <row r="51" spans="1:5" s="27" customFormat="1" ht="15" customHeight="1">
      <c r="A51" s="38" t="s">
        <v>290</v>
      </c>
      <c r="B51" s="38" t="s">
        <v>289</v>
      </c>
      <c r="C51" s="46">
        <f>'3.pielikums'!H179</f>
        <v>150076</v>
      </c>
      <c r="D51" s="49"/>
      <c r="E51" s="221">
        <f t="shared" si="1"/>
        <v>150076</v>
      </c>
    </row>
    <row r="52" spans="1:5" s="27" customFormat="1" ht="15" customHeight="1">
      <c r="A52" s="38" t="s">
        <v>657</v>
      </c>
      <c r="B52" s="38" t="s">
        <v>300</v>
      </c>
      <c r="C52" s="46">
        <f>'3.pielikums'!H190</f>
        <v>2700590</v>
      </c>
      <c r="D52" s="49"/>
      <c r="E52" s="221">
        <f t="shared" si="1"/>
        <v>2700590</v>
      </c>
    </row>
    <row r="53" spans="1:5" s="27" customFormat="1" ht="15" customHeight="1">
      <c r="A53" s="38" t="s">
        <v>314</v>
      </c>
      <c r="B53" s="38" t="s">
        <v>313</v>
      </c>
      <c r="C53" s="46">
        <v>14618469</v>
      </c>
      <c r="D53" s="207">
        <v>72644</v>
      </c>
      <c r="E53" s="221">
        <f>'3.pielikums'!H236</f>
        <v>14691112.98</v>
      </c>
    </row>
    <row r="54" spans="1:5" s="27" customFormat="1" ht="15" customHeight="1">
      <c r="A54" s="38" t="s">
        <v>328</v>
      </c>
      <c r="B54" s="38" t="s">
        <v>327</v>
      </c>
      <c r="C54" s="46">
        <f>'3.pielikums'!H300</f>
        <v>6103070</v>
      </c>
      <c r="D54" s="49"/>
      <c r="E54" s="221">
        <f t="shared" si="1"/>
        <v>6103070</v>
      </c>
    </row>
    <row r="55" spans="1:5" s="27" customFormat="1" ht="30" customHeight="1">
      <c r="A55" s="47" t="s">
        <v>658</v>
      </c>
      <c r="B55" s="48"/>
      <c r="C55" s="39">
        <f>C56+C57+C58+C59+C60+C61+C62</f>
        <v>35113277.980000004</v>
      </c>
      <c r="D55" s="39">
        <f>D56+D57+D58+D59+D60+D61+D62</f>
        <v>122331</v>
      </c>
      <c r="E55" s="221">
        <f>C55+D55</f>
        <v>35235608.980000004</v>
      </c>
    </row>
    <row r="56" spans="1:5" s="27" customFormat="1" ht="15" customHeight="1">
      <c r="A56" s="38" t="s">
        <v>659</v>
      </c>
      <c r="B56" s="38" t="s">
        <v>660</v>
      </c>
      <c r="C56" s="39">
        <f>'4.pielikums'!C318</f>
        <v>21794388.98</v>
      </c>
      <c r="D56" s="225"/>
      <c r="E56" s="221">
        <f t="shared" si="2" ref="E56:E62">C56+D56</f>
        <v>21794388.98</v>
      </c>
    </row>
    <row r="57" spans="1:5" s="27" customFormat="1" ht="15" customHeight="1">
      <c r="A57" s="38" t="s">
        <v>88</v>
      </c>
      <c r="B57" s="38" t="s">
        <v>661</v>
      </c>
      <c r="C57" s="39">
        <v>8574490</v>
      </c>
      <c r="D57" s="225">
        <f>36898+49687</f>
        <v>86585</v>
      </c>
      <c r="E57" s="221">
        <f t="shared" si="2"/>
        <v>8661075</v>
      </c>
    </row>
    <row r="58" spans="1:5" s="27" customFormat="1" ht="15" customHeight="1">
      <c r="A58" s="38" t="s">
        <v>89</v>
      </c>
      <c r="B58" s="38" t="s">
        <v>662</v>
      </c>
      <c r="C58" s="39">
        <f>'4.pielikums'!L318</f>
        <v>77201</v>
      </c>
      <c r="D58" s="225"/>
      <c r="E58" s="221">
        <f t="shared" si="2"/>
        <v>77201</v>
      </c>
    </row>
    <row r="59" spans="1:5" s="27" customFormat="1" ht="15" customHeight="1">
      <c r="A59" s="38" t="s">
        <v>663</v>
      </c>
      <c r="B59" s="38" t="s">
        <v>664</v>
      </c>
      <c r="C59" s="39">
        <f>'4.pielikums'!M318</f>
        <v>860221</v>
      </c>
      <c r="D59" s="225"/>
      <c r="E59" s="221">
        <f t="shared" si="2"/>
        <v>860221</v>
      </c>
    </row>
    <row r="60" spans="1:5" s="27" customFormat="1" ht="15" customHeight="1">
      <c r="A60" s="38" t="s">
        <v>91</v>
      </c>
      <c r="B60" s="38" t="s">
        <v>665</v>
      </c>
      <c r="C60" s="39">
        <v>2048350</v>
      </c>
      <c r="D60" s="225">
        <v>35746</v>
      </c>
      <c r="E60" s="221">
        <f>C60+D60</f>
        <v>2084096</v>
      </c>
    </row>
    <row r="61" spans="1:5" s="27" customFormat="1" ht="15" customHeight="1">
      <c r="A61" s="38" t="s">
        <v>239</v>
      </c>
      <c r="B61" s="38" t="s">
        <v>666</v>
      </c>
      <c r="C61" s="39">
        <f>'4.pielikums'!O318</f>
        <v>1605751</v>
      </c>
      <c r="D61" s="225"/>
      <c r="E61" s="221">
        <f t="shared" si="2"/>
        <v>1605751</v>
      </c>
    </row>
    <row r="62" spans="1:5" s="27" customFormat="1" ht="30" customHeight="1">
      <c r="A62" s="38" t="s">
        <v>667</v>
      </c>
      <c r="B62" s="38" t="s">
        <v>668</v>
      </c>
      <c r="C62" s="39">
        <f>'4.pielikums'!P318</f>
        <v>152876</v>
      </c>
      <c r="D62" s="49"/>
      <c r="E62" s="221">
        <f t="shared" si="2"/>
        <v>152876</v>
      </c>
    </row>
    <row r="63" spans="1:5" s="27" customFormat="1" ht="30" customHeight="1">
      <c r="A63" s="49"/>
      <c r="B63" s="49"/>
      <c r="C63" s="50"/>
      <c r="D63" s="49"/>
      <c r="E63" s="221">
        <f t="shared" si="1"/>
        <v>0</v>
      </c>
    </row>
    <row r="64" spans="1:5" s="27" customFormat="1" ht="15" customHeight="1">
      <c r="A64" s="45" t="s">
        <v>669</v>
      </c>
      <c r="B64" s="38" t="s">
        <v>654</v>
      </c>
      <c r="C64" s="39">
        <f>C14-C44</f>
        <v>-2812819</v>
      </c>
      <c r="D64" s="198">
        <f>C64+C65</f>
        <v>0</v>
      </c>
      <c r="E64" s="221">
        <f t="shared" si="1"/>
        <v>-2812819</v>
      </c>
    </row>
    <row r="65" spans="1:5" s="27" customFormat="1" ht="30" customHeight="1">
      <c r="A65" s="45" t="s">
        <v>670</v>
      </c>
      <c r="B65" s="38" t="s">
        <v>654</v>
      </c>
      <c r="C65" s="46">
        <f>C66+C71</f>
        <v>2812819</v>
      </c>
      <c r="D65" s="49"/>
      <c r="E65" s="221">
        <f t="shared" si="1"/>
        <v>2812819</v>
      </c>
    </row>
    <row r="66" spans="1:5" s="51" customFormat="1" ht="15" customHeight="1">
      <c r="A66" s="38" t="s">
        <v>671</v>
      </c>
      <c r="B66" s="38" t="s">
        <v>672</v>
      </c>
      <c r="C66" s="46">
        <f>C67+C68</f>
        <v>783359</v>
      </c>
      <c r="D66" s="199"/>
      <c r="E66" s="221">
        <f t="shared" si="1"/>
        <v>783359</v>
      </c>
    </row>
    <row r="67" spans="1:5" s="52" customFormat="1" ht="15" customHeight="1">
      <c r="A67" s="38" t="s">
        <v>673</v>
      </c>
      <c r="B67" s="38" t="s">
        <v>674</v>
      </c>
      <c r="C67" s="46">
        <v>8824</v>
      </c>
      <c r="D67" s="200"/>
      <c r="E67" s="221">
        <f t="shared" si="1"/>
        <v>8824</v>
      </c>
    </row>
    <row r="68" spans="1:5" s="53" customFormat="1" ht="15" customHeight="1">
      <c r="A68" s="38" t="s">
        <v>675</v>
      </c>
      <c r="B68" s="38" t="s">
        <v>676</v>
      </c>
      <c r="C68" s="46">
        <f>C69-C70</f>
        <v>774535</v>
      </c>
      <c r="D68" s="201"/>
      <c r="E68" s="221">
        <f t="shared" si="1"/>
        <v>774535</v>
      </c>
    </row>
    <row r="69" spans="1:5" s="27" customFormat="1" ht="15" customHeight="1">
      <c r="A69" s="38" t="s">
        <v>677</v>
      </c>
      <c r="B69" s="38" t="s">
        <v>678</v>
      </c>
      <c r="C69" s="46">
        <v>1398918</v>
      </c>
      <c r="D69" s="49"/>
      <c r="E69" s="221">
        <f t="shared" si="1"/>
        <v>1398918</v>
      </c>
    </row>
    <row r="70" spans="1:5" s="27" customFormat="1" ht="30" customHeight="1">
      <c r="A70" s="38" t="s">
        <v>679</v>
      </c>
      <c r="B70" s="38" t="s">
        <v>680</v>
      </c>
      <c r="C70" s="46">
        <f>494216+130167</f>
        <v>624383</v>
      </c>
      <c r="D70" s="202"/>
      <c r="E70" s="221">
        <f t="shared" si="1"/>
        <v>624383</v>
      </c>
    </row>
    <row r="71" spans="1:5" s="27" customFormat="1" ht="15" customHeight="1">
      <c r="A71" s="38" t="s">
        <v>270</v>
      </c>
      <c r="B71" s="38" t="s">
        <v>681</v>
      </c>
      <c r="C71" s="46">
        <f>C72-C73</f>
        <v>2029460</v>
      </c>
      <c r="D71" s="49"/>
      <c r="E71" s="221">
        <f t="shared" si="1"/>
        <v>2029460</v>
      </c>
    </row>
    <row r="72" spans="1:5" s="27" customFormat="1" ht="15" customHeight="1">
      <c r="A72" s="38" t="s">
        <v>682</v>
      </c>
      <c r="B72" s="38" t="s">
        <v>686</v>
      </c>
      <c r="C72" s="46">
        <f>'3.pielikums'!G17+2405697</f>
        <v>3477399</v>
      </c>
      <c r="D72" s="49"/>
      <c r="E72" s="221">
        <f t="shared" si="1"/>
        <v>3477399</v>
      </c>
    </row>
    <row r="73" spans="1:5" s="27" customFormat="1" ht="15" customHeight="1">
      <c r="A73" s="38" t="s">
        <v>683</v>
      </c>
      <c r="B73" s="38" t="s">
        <v>684</v>
      </c>
      <c r="C73" s="54">
        <f>1842560-394621</f>
        <v>1447939</v>
      </c>
      <c r="D73" s="49"/>
      <c r="E73" s="221">
        <f t="shared" si="1"/>
        <v>1447939</v>
      </c>
    </row>
    <row r="76" spans="1:1" ht="18.75">
      <c r="A76" s="79" t="s">
        <v>848</v>
      </c>
    </row>
  </sheetData>
  <mergeCells count="1">
    <mergeCell ref="A11:C11"/>
  </mergeCells>
  <pageMargins left="0.25" right="0.25" top="0.75" bottom="0.75" header="0.3" footer="0.3"/>
  <pageSetup orientation="portrait" paperSize="9" scale="7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4"/>
  <sheetViews>
    <sheetView workbookViewId="0" topLeftCell="A1">
      <selection pane="topLeft" activeCell="J7" sqref="J7"/>
    </sheetView>
  </sheetViews>
  <sheetFormatPr defaultColWidth="9.14428571428571" defaultRowHeight="15.75"/>
  <cols>
    <col min="1" max="1" width="14.2857142857143" style="161" customWidth="1"/>
    <col min="2" max="2" width="45.7142857142857" style="161" customWidth="1"/>
    <col min="3" max="3" width="15.7142857142857" style="161" customWidth="1"/>
    <col min="4" max="4" width="13" style="161" customWidth="1"/>
    <col min="5" max="5" width="15.7142857142857" style="161" customWidth="1"/>
    <col min="6" max="7" width="15.8571428571429" style="161" customWidth="1"/>
    <col min="8" max="8" width="15.7142857142857" style="161" customWidth="1"/>
    <col min="9" max="9" width="11.8571428571429" style="78" customWidth="1"/>
    <col min="10" max="10" width="14.8571428571429" style="59" customWidth="1"/>
    <col min="11" max="11" width="9.85714285714286" style="76" bestFit="1" customWidth="1"/>
    <col min="12" max="16384" width="9.14285714285714" style="76"/>
  </cols>
  <sheetData>
    <row r="1" spans="9:10" ht="15" customHeight="1">
      <c r="I1" s="222"/>
      <c r="J1" s="222"/>
    </row>
    <row r="2" spans="1:10" ht="15" customHeight="1">
      <c r="A2" s="162"/>
      <c r="B2" s="170"/>
      <c r="C2" s="168"/>
      <c r="D2" s="168"/>
      <c r="E2" s="168"/>
      <c r="F2" s="168"/>
      <c r="G2" s="168"/>
      <c r="H2" s="174"/>
      <c r="I2" s="222"/>
      <c r="J2" s="174" t="s">
        <v>341</v>
      </c>
    </row>
    <row r="3" spans="1:10" ht="15" customHeight="1">
      <c r="A3" s="162"/>
      <c r="B3" s="170"/>
      <c r="C3" s="168"/>
      <c r="D3" s="168"/>
      <c r="E3" s="168"/>
      <c r="F3" s="168"/>
      <c r="G3" s="168"/>
      <c r="H3" s="169"/>
      <c r="I3" s="222"/>
      <c r="J3" s="169" t="s">
        <v>832</v>
      </c>
    </row>
    <row r="4" spans="1:10" ht="15" customHeight="1">
      <c r="A4" s="162"/>
      <c r="E4" s="169"/>
      <c r="F4" s="169"/>
      <c r="G4" s="169"/>
      <c r="H4" s="169"/>
      <c r="I4" s="222"/>
      <c r="J4" s="169" t="s">
        <v>849</v>
      </c>
    </row>
    <row r="5" spans="1:10" ht="15" customHeight="1">
      <c r="A5" s="162"/>
      <c r="E5" s="169"/>
      <c r="F5" s="169"/>
      <c r="G5" s="169"/>
      <c r="H5" s="169"/>
      <c r="I5" s="222"/>
      <c r="J5" s="169" t="s">
        <v>838</v>
      </c>
    </row>
    <row r="6" spans="1:10" ht="15" customHeight="1">
      <c r="A6" s="162"/>
      <c r="B6" s="188"/>
      <c r="E6" s="169"/>
      <c r="F6" s="169"/>
      <c r="G6" s="169"/>
      <c r="H6" s="169"/>
      <c r="I6" s="222"/>
      <c r="J6" s="169" t="s">
        <v>766</v>
      </c>
    </row>
    <row r="7" spans="1:10" ht="15" customHeight="1">
      <c r="A7" s="162"/>
      <c r="B7" s="188"/>
      <c r="E7" s="169"/>
      <c r="F7" s="169"/>
      <c r="G7" s="169"/>
      <c r="H7" s="169"/>
      <c r="I7" s="222"/>
      <c r="J7" s="222"/>
    </row>
    <row r="8" spans="1:10" ht="15" customHeight="1">
      <c r="A8" s="162"/>
      <c r="B8" s="188"/>
      <c r="E8" s="169"/>
      <c r="F8" s="169"/>
      <c r="G8" s="169"/>
      <c r="H8" s="174"/>
      <c r="I8" s="222"/>
      <c r="J8" s="174" t="s">
        <v>341</v>
      </c>
    </row>
    <row r="9" spans="1:10" ht="15" customHeight="1">
      <c r="A9" s="162"/>
      <c r="B9" s="188"/>
      <c r="E9" s="169"/>
      <c r="F9" s="169"/>
      <c r="G9" s="169"/>
      <c r="H9" s="169"/>
      <c r="I9" s="222"/>
      <c r="J9" s="169" t="s">
        <v>832</v>
      </c>
    </row>
    <row r="10" spans="1:10" ht="15" customHeight="1">
      <c r="A10" s="162"/>
      <c r="B10" s="188"/>
      <c r="E10" s="169"/>
      <c r="F10" s="169"/>
      <c r="G10" s="169"/>
      <c r="H10" s="169"/>
      <c r="I10" s="222"/>
      <c r="J10" s="169" t="s">
        <v>833</v>
      </c>
    </row>
    <row r="11" spans="1:10" ht="15" customHeight="1">
      <c r="A11" s="162"/>
      <c r="B11" s="188"/>
      <c r="E11" s="169"/>
      <c r="F11" s="169"/>
      <c r="G11" s="169"/>
      <c r="H11" s="169"/>
      <c r="I11" s="222"/>
      <c r="J11" s="169" t="s">
        <v>766</v>
      </c>
    </row>
    <row r="12" spans="1:10" ht="15" customHeight="1">
      <c r="A12" s="162"/>
      <c r="B12" s="189"/>
      <c r="C12" s="170"/>
      <c r="D12" s="170"/>
      <c r="E12" s="170"/>
      <c r="F12" s="170"/>
      <c r="G12" s="170"/>
      <c r="H12" s="170"/>
      <c r="I12" s="222"/>
      <c r="J12" s="222"/>
    </row>
    <row r="13" spans="1:10" ht="15" customHeight="1">
      <c r="A13" s="11" t="s">
        <v>770</v>
      </c>
      <c r="B13" s="11"/>
      <c r="C13" s="11"/>
      <c r="D13" s="11"/>
      <c r="E13" s="11"/>
      <c r="F13" s="11"/>
      <c r="G13" s="11"/>
      <c r="H13" s="11"/>
      <c r="I13" s="222"/>
      <c r="J13" s="222"/>
    </row>
    <row r="14" spans="1:10" ht="15" customHeight="1">
      <c r="A14" s="162"/>
      <c r="B14" s="162"/>
      <c r="C14" s="170"/>
      <c r="D14" s="170"/>
      <c r="E14" s="170"/>
      <c r="F14" s="170"/>
      <c r="G14" s="170"/>
      <c r="H14" s="170"/>
      <c r="I14" s="223"/>
      <c r="J14" s="223"/>
    </row>
    <row r="15" spans="1:10" ht="15" customHeight="1">
      <c r="A15" s="10" t="s">
        <v>263</v>
      </c>
      <c r="B15" s="9" t="s">
        <v>342</v>
      </c>
      <c r="C15" s="8" t="s">
        <v>343</v>
      </c>
      <c r="D15" s="7"/>
      <c r="E15" s="7"/>
      <c r="F15" s="6"/>
      <c r="G15" s="16"/>
      <c r="H15" s="5" t="s">
        <v>344</v>
      </c>
      <c r="I15" s="13" t="s">
        <v>836</v>
      </c>
      <c r="J15" s="12" t="s">
        <v>841</v>
      </c>
    </row>
    <row r="16" spans="1:10" ht="45" customHeight="1">
      <c r="A16" s="10"/>
      <c r="B16" s="9"/>
      <c r="C16" s="171" t="s">
        <v>345</v>
      </c>
      <c r="D16" s="208" t="s">
        <v>836</v>
      </c>
      <c r="E16" s="171" t="s">
        <v>346</v>
      </c>
      <c r="F16" s="171" t="s">
        <v>347</v>
      </c>
      <c r="G16" s="208" t="s">
        <v>836</v>
      </c>
      <c r="H16" s="5"/>
      <c r="I16" s="13"/>
      <c r="J16" s="12"/>
    </row>
    <row r="17" spans="1:10" ht="15" customHeight="1">
      <c r="A17" s="163" t="s">
        <v>348</v>
      </c>
      <c r="B17" s="99" t="s">
        <v>349</v>
      </c>
      <c r="C17" s="101">
        <f>C19+C22+C34+C43+C55+C68+C60+C40</f>
        <v>12978234</v>
      </c>
      <c r="D17" s="101"/>
      <c r="E17" s="101">
        <f>E137+E142+E427</f>
        <v>5145138</v>
      </c>
      <c r="F17" s="101">
        <f>F76+F73</f>
        <v>14007415</v>
      </c>
      <c r="G17" s="101"/>
      <c r="H17" s="209">
        <f>H19+H22+H34+H40+H43+H55+H60+H68+H73+H76+H137+H139</f>
        <v>32300459</v>
      </c>
      <c r="I17" s="101">
        <f>I19+I22+I34+I40+I43+I55+I60+I68+I73+I76+I137+I139</f>
        <v>122331</v>
      </c>
      <c r="J17" s="213">
        <f>H17+I17</f>
        <v>32422790</v>
      </c>
    </row>
    <row r="18" spans="1:10" ht="15" customHeight="1">
      <c r="A18" s="99">
        <v>1</v>
      </c>
      <c r="B18" s="99" t="s">
        <v>350</v>
      </c>
      <c r="C18" s="101">
        <f>C19+C22+C34</f>
        <v>12367125</v>
      </c>
      <c r="D18" s="101"/>
      <c r="E18" s="102"/>
      <c r="F18" s="102"/>
      <c r="G18" s="102"/>
      <c r="H18" s="209">
        <f t="shared" si="0" ref="H18:H34">C18</f>
        <v>12367125</v>
      </c>
      <c r="I18" s="98"/>
      <c r="J18" s="213">
        <f t="shared" si="1" ref="J18:J76">H18+I18</f>
        <v>12367125</v>
      </c>
    </row>
    <row r="19" spans="1:11" ht="15" customHeight="1">
      <c r="A19" s="99" t="s">
        <v>351</v>
      </c>
      <c r="B19" s="99" t="s">
        <v>352</v>
      </c>
      <c r="C19" s="101">
        <f>C20</f>
        <v>11192140</v>
      </c>
      <c r="D19" s="101"/>
      <c r="E19" s="102"/>
      <c r="F19" s="102"/>
      <c r="G19" s="102"/>
      <c r="H19" s="209">
        <f t="shared" si="0"/>
        <v>11192140</v>
      </c>
      <c r="I19" s="98"/>
      <c r="J19" s="213">
        <f t="shared" si="1"/>
        <v>11192140</v>
      </c>
      <c r="K19" s="103"/>
    </row>
    <row r="20" spans="1:10" ht="15" customHeight="1">
      <c r="A20" s="99" t="s">
        <v>353</v>
      </c>
      <c r="B20" s="99" t="s">
        <v>354</v>
      </c>
      <c r="C20" s="101">
        <f>C21</f>
        <v>11192140</v>
      </c>
      <c r="D20" s="101"/>
      <c r="E20" s="102"/>
      <c r="F20" s="102"/>
      <c r="G20" s="102"/>
      <c r="H20" s="209">
        <f t="shared" si="0"/>
        <v>11192140</v>
      </c>
      <c r="I20" s="98"/>
      <c r="J20" s="213">
        <f t="shared" si="1"/>
        <v>11192140</v>
      </c>
    </row>
    <row r="21" spans="1:10" ht="15" customHeight="1">
      <c r="A21" s="164" t="s">
        <v>355</v>
      </c>
      <c r="B21" s="98" t="s">
        <v>354</v>
      </c>
      <c r="C21" s="102">
        <v>11192140</v>
      </c>
      <c r="D21" s="102"/>
      <c r="E21" s="102"/>
      <c r="F21" s="102"/>
      <c r="G21" s="102"/>
      <c r="H21" s="210">
        <f t="shared" si="0"/>
        <v>11192140</v>
      </c>
      <c r="I21" s="98"/>
      <c r="J21" s="219">
        <f t="shared" si="1"/>
        <v>11192140</v>
      </c>
    </row>
    <row r="22" spans="1:10" ht="15" customHeight="1">
      <c r="A22" s="165" t="s">
        <v>356</v>
      </c>
      <c r="B22" s="99" t="s">
        <v>357</v>
      </c>
      <c r="C22" s="101">
        <f>C23</f>
        <v>1129985</v>
      </c>
      <c r="D22" s="101"/>
      <c r="E22" s="102"/>
      <c r="F22" s="102"/>
      <c r="G22" s="102"/>
      <c r="H22" s="209">
        <f t="shared" si="0"/>
        <v>1129985</v>
      </c>
      <c r="I22" s="98"/>
      <c r="J22" s="213">
        <f t="shared" si="1"/>
        <v>1129985</v>
      </c>
    </row>
    <row r="23" spans="1:10" ht="15" customHeight="1">
      <c r="A23" s="99" t="s">
        <v>358</v>
      </c>
      <c r="B23" s="99" t="s">
        <v>359</v>
      </c>
      <c r="C23" s="101">
        <f>C24+C27+C31</f>
        <v>1129985</v>
      </c>
      <c r="D23" s="101"/>
      <c r="E23" s="102"/>
      <c r="F23" s="102"/>
      <c r="G23" s="102"/>
      <c r="H23" s="209">
        <f t="shared" si="0"/>
        <v>1129985</v>
      </c>
      <c r="I23" s="212"/>
      <c r="J23" s="213">
        <f>H23+I23</f>
        <v>1129985</v>
      </c>
    </row>
    <row r="24" spans="1:10" ht="15" customHeight="1">
      <c r="A24" s="99" t="s">
        <v>360</v>
      </c>
      <c r="B24" s="99" t="s">
        <v>361</v>
      </c>
      <c r="C24" s="101">
        <f>C25+C26</f>
        <v>981415</v>
      </c>
      <c r="D24" s="101"/>
      <c r="E24" s="102"/>
      <c r="F24" s="102"/>
      <c r="G24" s="102"/>
      <c r="H24" s="209">
        <f t="shared" si="0"/>
        <v>981415</v>
      </c>
      <c r="I24" s="98"/>
      <c r="J24" s="213">
        <f t="shared" si="1"/>
        <v>981415</v>
      </c>
    </row>
    <row r="25" spans="1:10" ht="30" customHeight="1">
      <c r="A25" s="98" t="s">
        <v>362</v>
      </c>
      <c r="B25" s="97" t="s">
        <v>363</v>
      </c>
      <c r="C25" s="102">
        <v>882815</v>
      </c>
      <c r="D25" s="102"/>
      <c r="E25" s="102"/>
      <c r="F25" s="102"/>
      <c r="G25" s="102"/>
      <c r="H25" s="210">
        <f t="shared" si="0"/>
        <v>882815</v>
      </c>
      <c r="I25" s="98"/>
      <c r="J25" s="219">
        <f t="shared" si="1"/>
        <v>882815</v>
      </c>
    </row>
    <row r="26" spans="1:10" ht="30" customHeight="1">
      <c r="A26" s="98" t="s">
        <v>364</v>
      </c>
      <c r="B26" s="97" t="s">
        <v>365</v>
      </c>
      <c r="C26" s="102">
        <v>98600</v>
      </c>
      <c r="D26" s="102"/>
      <c r="E26" s="102"/>
      <c r="F26" s="102"/>
      <c r="G26" s="102"/>
      <c r="H26" s="210">
        <f t="shared" si="0"/>
        <v>98600</v>
      </c>
      <c r="I26" s="98"/>
      <c r="J26" s="219">
        <f t="shared" si="1"/>
        <v>98600</v>
      </c>
    </row>
    <row r="27" spans="1:10" ht="15" customHeight="1">
      <c r="A27" s="99" t="s">
        <v>366</v>
      </c>
      <c r="B27" s="99" t="s">
        <v>367</v>
      </c>
      <c r="C27" s="101">
        <f>C28+C30</f>
        <v>90570</v>
      </c>
      <c r="D27" s="101"/>
      <c r="E27" s="102"/>
      <c r="F27" s="102"/>
      <c r="G27" s="102"/>
      <c r="H27" s="209">
        <f t="shared" si="0"/>
        <v>90570</v>
      </c>
      <c r="I27" s="98"/>
      <c r="J27" s="213">
        <f t="shared" si="1"/>
        <v>90570</v>
      </c>
    </row>
    <row r="28" spans="1:10" ht="30" customHeight="1">
      <c r="A28" s="98" t="s">
        <v>368</v>
      </c>
      <c r="B28" s="97" t="s">
        <v>369</v>
      </c>
      <c r="C28" s="102">
        <v>82570</v>
      </c>
      <c r="D28" s="102"/>
      <c r="E28" s="102"/>
      <c r="F28" s="102"/>
      <c r="G28" s="102"/>
      <c r="H28" s="210">
        <f t="shared" si="0"/>
        <v>82570</v>
      </c>
      <c r="I28" s="98"/>
      <c r="J28" s="219">
        <f t="shared" si="1"/>
        <v>82570</v>
      </c>
    </row>
    <row r="29" spans="1:10" ht="15" customHeight="1">
      <c r="A29" s="98"/>
      <c r="B29" s="97" t="s">
        <v>370</v>
      </c>
      <c r="C29" s="102">
        <v>4718</v>
      </c>
      <c r="D29" s="102"/>
      <c r="E29" s="102"/>
      <c r="F29" s="102"/>
      <c r="G29" s="102"/>
      <c r="H29" s="210">
        <f t="shared" si="0"/>
        <v>4718</v>
      </c>
      <c r="I29" s="98"/>
      <c r="J29" s="219">
        <f t="shared" si="1"/>
        <v>4718</v>
      </c>
    </row>
    <row r="30" spans="1:10" ht="30" customHeight="1">
      <c r="A30" s="98" t="s">
        <v>371</v>
      </c>
      <c r="B30" s="97" t="s">
        <v>372</v>
      </c>
      <c r="C30" s="102">
        <v>8000</v>
      </c>
      <c r="D30" s="102"/>
      <c r="E30" s="102"/>
      <c r="F30" s="102"/>
      <c r="G30" s="102"/>
      <c r="H30" s="210">
        <f t="shared" si="0"/>
        <v>8000</v>
      </c>
      <c r="I30" s="98"/>
      <c r="J30" s="219">
        <f t="shared" si="1"/>
        <v>8000</v>
      </c>
    </row>
    <row r="31" spans="1:10" ht="15" customHeight="1">
      <c r="A31" s="99" t="s">
        <v>373</v>
      </c>
      <c r="B31" s="100" t="s">
        <v>374</v>
      </c>
      <c r="C31" s="101">
        <f>C32+C33</f>
        <v>58000</v>
      </c>
      <c r="D31" s="101"/>
      <c r="E31" s="102"/>
      <c r="F31" s="102"/>
      <c r="G31" s="102"/>
      <c r="H31" s="209">
        <f t="shared" si="0"/>
        <v>58000</v>
      </c>
      <c r="I31" s="98"/>
      <c r="J31" s="213">
        <f t="shared" si="1"/>
        <v>58000</v>
      </c>
    </row>
    <row r="32" spans="1:10" ht="30" customHeight="1">
      <c r="A32" s="98" t="s">
        <v>375</v>
      </c>
      <c r="B32" s="97" t="s">
        <v>376</v>
      </c>
      <c r="C32" s="102">
        <v>48000</v>
      </c>
      <c r="D32" s="102"/>
      <c r="E32" s="102"/>
      <c r="F32" s="102"/>
      <c r="G32" s="102"/>
      <c r="H32" s="210">
        <f t="shared" si="0"/>
        <v>48000</v>
      </c>
      <c r="I32" s="98"/>
      <c r="J32" s="219">
        <f t="shared" si="1"/>
        <v>48000</v>
      </c>
    </row>
    <row r="33" spans="1:10" ht="30" customHeight="1">
      <c r="A33" s="98" t="s">
        <v>377</v>
      </c>
      <c r="B33" s="97" t="s">
        <v>378</v>
      </c>
      <c r="C33" s="102">
        <v>10000</v>
      </c>
      <c r="D33" s="102"/>
      <c r="E33" s="102"/>
      <c r="F33" s="102"/>
      <c r="G33" s="102"/>
      <c r="H33" s="210">
        <f t="shared" si="0"/>
        <v>10000</v>
      </c>
      <c r="I33" s="98"/>
      <c r="J33" s="219">
        <f t="shared" si="1"/>
        <v>10000</v>
      </c>
    </row>
    <row r="34" spans="1:10" ht="30" customHeight="1">
      <c r="A34" s="99" t="s">
        <v>379</v>
      </c>
      <c r="B34" s="100" t="s">
        <v>380</v>
      </c>
      <c r="C34" s="101">
        <f>C35+C37</f>
        <v>45000</v>
      </c>
      <c r="D34" s="101"/>
      <c r="E34" s="102"/>
      <c r="F34" s="102"/>
      <c r="G34" s="102"/>
      <c r="H34" s="209">
        <f t="shared" si="0"/>
        <v>45000</v>
      </c>
      <c r="I34" s="98"/>
      <c r="J34" s="213">
        <f t="shared" si="1"/>
        <v>45000</v>
      </c>
    </row>
    <row r="35" spans="1:10" ht="30" customHeight="1">
      <c r="A35" s="99" t="s">
        <v>381</v>
      </c>
      <c r="B35" s="100" t="s">
        <v>382</v>
      </c>
      <c r="C35" s="101">
        <f>C36</f>
        <v>7000</v>
      </c>
      <c r="D35" s="101"/>
      <c r="E35" s="102"/>
      <c r="F35" s="102"/>
      <c r="G35" s="102"/>
      <c r="H35" s="209">
        <f>H36</f>
        <v>7000</v>
      </c>
      <c r="I35" s="98"/>
      <c r="J35" s="213">
        <f t="shared" si="1"/>
        <v>7000</v>
      </c>
    </row>
    <row r="36" spans="1:10" ht="15" customHeight="1">
      <c r="A36" s="98" t="s">
        <v>383</v>
      </c>
      <c r="B36" s="98" t="s">
        <v>384</v>
      </c>
      <c r="C36" s="102">
        <v>7000</v>
      </c>
      <c r="D36" s="102"/>
      <c r="E36" s="102"/>
      <c r="F36" s="102"/>
      <c r="G36" s="102"/>
      <c r="H36" s="210">
        <f>C36</f>
        <v>7000</v>
      </c>
      <c r="I36" s="98"/>
      <c r="J36" s="219">
        <f t="shared" si="1"/>
        <v>7000</v>
      </c>
    </row>
    <row r="37" spans="1:10" ht="30" customHeight="1">
      <c r="A37" s="99" t="s">
        <v>385</v>
      </c>
      <c r="B37" s="100" t="s">
        <v>386</v>
      </c>
      <c r="C37" s="101">
        <f>C38</f>
        <v>38000</v>
      </c>
      <c r="D37" s="101"/>
      <c r="E37" s="101"/>
      <c r="F37" s="101"/>
      <c r="G37" s="101"/>
      <c r="H37" s="209">
        <f>H38</f>
        <v>38000</v>
      </c>
      <c r="I37" s="98"/>
      <c r="J37" s="213">
        <f t="shared" si="1"/>
        <v>38000</v>
      </c>
    </row>
    <row r="38" spans="1:10" ht="15" customHeight="1">
      <c r="A38" s="98" t="s">
        <v>387</v>
      </c>
      <c r="B38" s="98" t="s">
        <v>388</v>
      </c>
      <c r="C38" s="102">
        <v>38000</v>
      </c>
      <c r="D38" s="102"/>
      <c r="E38" s="102"/>
      <c r="F38" s="102"/>
      <c r="G38" s="102"/>
      <c r="H38" s="210">
        <f>C38</f>
        <v>38000</v>
      </c>
      <c r="I38" s="98"/>
      <c r="J38" s="219">
        <f t="shared" si="1"/>
        <v>38000</v>
      </c>
    </row>
    <row r="39" spans="1:10" ht="15" customHeight="1">
      <c r="A39" s="99">
        <v>2</v>
      </c>
      <c r="B39" s="99" t="s">
        <v>389</v>
      </c>
      <c r="C39" s="101">
        <f>C43+C55+C60+C68+C40</f>
        <v>611109</v>
      </c>
      <c r="D39" s="101"/>
      <c r="E39" s="102"/>
      <c r="F39" s="102"/>
      <c r="G39" s="102"/>
      <c r="H39" s="209">
        <f>C39</f>
        <v>611109</v>
      </c>
      <c r="I39" s="98"/>
      <c r="J39" s="213">
        <f t="shared" si="1"/>
        <v>611109</v>
      </c>
    </row>
    <row r="40" spans="1:10" ht="15" customHeight="1">
      <c r="A40" s="99" t="s">
        <v>390</v>
      </c>
      <c r="B40" s="99" t="s">
        <v>391</v>
      </c>
      <c r="C40" s="101">
        <f>C42</f>
        <v>5000</v>
      </c>
      <c r="D40" s="101"/>
      <c r="E40" s="101"/>
      <c r="F40" s="101"/>
      <c r="G40" s="101"/>
      <c r="H40" s="209">
        <f>H42</f>
        <v>5000</v>
      </c>
      <c r="I40" s="102">
        <f>I41</f>
        <v>49687</v>
      </c>
      <c r="J40" s="213">
        <f t="shared" si="1"/>
        <v>54687</v>
      </c>
    </row>
    <row r="41" spans="1:10" ht="32.25" customHeight="1">
      <c r="A41" s="98" t="s">
        <v>839</v>
      </c>
      <c r="B41" s="106" t="s">
        <v>842</v>
      </c>
      <c r="C41" s="101"/>
      <c r="D41" s="140">
        <v>49687</v>
      </c>
      <c r="E41" s="101"/>
      <c r="F41" s="101"/>
      <c r="G41" s="101"/>
      <c r="H41" s="209">
        <v>0</v>
      </c>
      <c r="I41" s="102">
        <f>D41</f>
        <v>49687</v>
      </c>
      <c r="J41" s="213">
        <f t="shared" si="1"/>
        <v>49687</v>
      </c>
    </row>
    <row r="42" spans="1:10" ht="30" customHeight="1">
      <c r="A42" s="98" t="s">
        <v>392</v>
      </c>
      <c r="B42" s="97" t="s">
        <v>393</v>
      </c>
      <c r="C42" s="102">
        <v>5000</v>
      </c>
      <c r="D42" s="102"/>
      <c r="E42" s="102"/>
      <c r="F42" s="102"/>
      <c r="G42" s="102"/>
      <c r="H42" s="210">
        <f t="shared" si="2" ref="H42:H60">C42</f>
        <v>5000</v>
      </c>
      <c r="I42" s="98"/>
      <c r="J42" s="219">
        <f t="shared" si="1"/>
        <v>5000</v>
      </c>
    </row>
    <row r="43" spans="1:10" s="88" customFormat="1" ht="30" customHeight="1">
      <c r="A43" s="99" t="s">
        <v>394</v>
      </c>
      <c r="B43" s="100" t="s">
        <v>395</v>
      </c>
      <c r="C43" s="101">
        <f>C44+C49</f>
        <v>18140</v>
      </c>
      <c r="D43" s="101"/>
      <c r="E43" s="101"/>
      <c r="F43" s="101"/>
      <c r="G43" s="101"/>
      <c r="H43" s="209">
        <f t="shared" si="2"/>
        <v>18140</v>
      </c>
      <c r="I43" s="99"/>
      <c r="J43" s="213">
        <f t="shared" si="1"/>
        <v>18140</v>
      </c>
    </row>
    <row r="44" spans="1:10" s="88" customFormat="1" ht="15" customHeight="1">
      <c r="A44" s="99" t="s">
        <v>396</v>
      </c>
      <c r="B44" s="100" t="s">
        <v>397</v>
      </c>
      <c r="C44" s="101">
        <f>C45+C46+C47</f>
        <v>11690</v>
      </c>
      <c r="D44" s="101"/>
      <c r="E44" s="101"/>
      <c r="F44" s="101"/>
      <c r="G44" s="101"/>
      <c r="H44" s="209">
        <f t="shared" si="2"/>
        <v>11690</v>
      </c>
      <c r="I44" s="99"/>
      <c r="J44" s="213">
        <f t="shared" si="1"/>
        <v>11690</v>
      </c>
    </row>
    <row r="45" spans="1:10" ht="30" customHeight="1">
      <c r="A45" s="98" t="s">
        <v>398</v>
      </c>
      <c r="B45" s="97" t="s">
        <v>399</v>
      </c>
      <c r="C45" s="102">
        <v>10000</v>
      </c>
      <c r="D45" s="102"/>
      <c r="E45" s="102"/>
      <c r="F45" s="102"/>
      <c r="G45" s="102"/>
      <c r="H45" s="210">
        <f t="shared" si="2"/>
        <v>10000</v>
      </c>
      <c r="I45" s="98"/>
      <c r="J45" s="219">
        <f t="shared" si="1"/>
        <v>10000</v>
      </c>
    </row>
    <row r="46" spans="1:10" ht="30" customHeight="1">
      <c r="A46" s="98" t="s">
        <v>400</v>
      </c>
      <c r="B46" s="97" t="s">
        <v>401</v>
      </c>
      <c r="C46" s="102">
        <v>1400</v>
      </c>
      <c r="D46" s="102"/>
      <c r="E46" s="102"/>
      <c r="F46" s="102"/>
      <c r="G46" s="102"/>
      <c r="H46" s="210">
        <f t="shared" si="2"/>
        <v>1400</v>
      </c>
      <c r="I46" s="98"/>
      <c r="J46" s="219">
        <f t="shared" si="1"/>
        <v>1400</v>
      </c>
    </row>
    <row r="47" spans="1:10" ht="30" customHeight="1">
      <c r="A47" s="98" t="s">
        <v>402</v>
      </c>
      <c r="B47" s="97" t="s">
        <v>403</v>
      </c>
      <c r="C47" s="102">
        <f>C48</f>
        <v>290</v>
      </c>
      <c r="D47" s="102"/>
      <c r="E47" s="102"/>
      <c r="F47" s="102"/>
      <c r="G47" s="102"/>
      <c r="H47" s="210">
        <f t="shared" si="2"/>
        <v>290</v>
      </c>
      <c r="I47" s="98"/>
      <c r="J47" s="219">
        <f t="shared" si="1"/>
        <v>290</v>
      </c>
    </row>
    <row r="48" spans="1:10" ht="15" customHeight="1">
      <c r="A48" s="98" t="s">
        <v>404</v>
      </c>
      <c r="B48" s="97" t="s">
        <v>405</v>
      </c>
      <c r="C48" s="102">
        <v>290</v>
      </c>
      <c r="D48" s="102"/>
      <c r="E48" s="102"/>
      <c r="F48" s="102"/>
      <c r="G48" s="102"/>
      <c r="H48" s="210">
        <f t="shared" si="2"/>
        <v>290</v>
      </c>
      <c r="I48" s="98"/>
      <c r="J48" s="219">
        <f t="shared" si="1"/>
        <v>290</v>
      </c>
    </row>
    <row r="49" spans="1:10" ht="15" customHeight="1">
      <c r="A49" s="99" t="s">
        <v>406</v>
      </c>
      <c r="B49" s="99" t="s">
        <v>407</v>
      </c>
      <c r="C49" s="101">
        <f>C50+C51+C52+C53+C54</f>
        <v>6450</v>
      </c>
      <c r="D49" s="101"/>
      <c r="E49" s="102"/>
      <c r="F49" s="102"/>
      <c r="G49" s="102"/>
      <c r="H49" s="209">
        <f t="shared" si="2"/>
        <v>6450</v>
      </c>
      <c r="I49" s="98"/>
      <c r="J49" s="213">
        <f t="shared" si="1"/>
        <v>6450</v>
      </c>
    </row>
    <row r="50" spans="1:10" ht="30" customHeight="1">
      <c r="A50" s="98" t="s">
        <v>408</v>
      </c>
      <c r="B50" s="97" t="s">
        <v>409</v>
      </c>
      <c r="C50" s="102">
        <v>300</v>
      </c>
      <c r="D50" s="102"/>
      <c r="E50" s="102"/>
      <c r="F50" s="102"/>
      <c r="G50" s="102"/>
      <c r="H50" s="210">
        <f t="shared" si="2"/>
        <v>300</v>
      </c>
      <c r="I50" s="98"/>
      <c r="J50" s="219">
        <f t="shared" si="1"/>
        <v>300</v>
      </c>
    </row>
    <row r="51" spans="1:10" ht="15" customHeight="1">
      <c r="A51" s="98" t="s">
        <v>410</v>
      </c>
      <c r="B51" s="97" t="s">
        <v>411</v>
      </c>
      <c r="C51" s="102">
        <v>1000</v>
      </c>
      <c r="D51" s="102"/>
      <c r="E51" s="102"/>
      <c r="F51" s="102"/>
      <c r="G51" s="102"/>
      <c r="H51" s="210">
        <f t="shared" si="2"/>
        <v>1000</v>
      </c>
      <c r="I51" s="98"/>
      <c r="J51" s="219">
        <f t="shared" si="1"/>
        <v>1000</v>
      </c>
    </row>
    <row r="52" spans="1:10" ht="30" customHeight="1">
      <c r="A52" s="98" t="s">
        <v>412</v>
      </c>
      <c r="B52" s="97" t="s">
        <v>413</v>
      </c>
      <c r="C52" s="102">
        <v>50</v>
      </c>
      <c r="D52" s="102"/>
      <c r="E52" s="102"/>
      <c r="F52" s="102"/>
      <c r="G52" s="102"/>
      <c r="H52" s="210">
        <f t="shared" si="2"/>
        <v>50</v>
      </c>
      <c r="I52" s="98"/>
      <c r="J52" s="219">
        <f t="shared" si="1"/>
        <v>50</v>
      </c>
    </row>
    <row r="53" spans="1:10" ht="15" customHeight="1">
      <c r="A53" s="98" t="s">
        <v>414</v>
      </c>
      <c r="B53" s="97" t="s">
        <v>415</v>
      </c>
      <c r="C53" s="102">
        <v>5000</v>
      </c>
      <c r="D53" s="102"/>
      <c r="E53" s="102"/>
      <c r="F53" s="102"/>
      <c r="G53" s="102"/>
      <c r="H53" s="210">
        <f t="shared" si="2"/>
        <v>5000</v>
      </c>
      <c r="I53" s="98"/>
      <c r="J53" s="219">
        <f t="shared" si="1"/>
        <v>5000</v>
      </c>
    </row>
    <row r="54" spans="1:10" ht="15" customHeight="1">
      <c r="A54" s="98" t="s">
        <v>416</v>
      </c>
      <c r="B54" s="97" t="s">
        <v>417</v>
      </c>
      <c r="C54" s="102">
        <v>100</v>
      </c>
      <c r="D54" s="102"/>
      <c r="E54" s="102"/>
      <c r="F54" s="102"/>
      <c r="G54" s="102"/>
      <c r="H54" s="210">
        <f t="shared" si="2"/>
        <v>100</v>
      </c>
      <c r="I54" s="98"/>
      <c r="J54" s="219">
        <f t="shared" si="1"/>
        <v>100</v>
      </c>
    </row>
    <row r="55" spans="1:10" ht="15" customHeight="1">
      <c r="A55" s="99" t="s">
        <v>418</v>
      </c>
      <c r="B55" s="99" t="s">
        <v>419</v>
      </c>
      <c r="C55" s="101">
        <f>C56+C59</f>
        <v>4000</v>
      </c>
      <c r="D55" s="101"/>
      <c r="E55" s="102"/>
      <c r="F55" s="102"/>
      <c r="G55" s="102"/>
      <c r="H55" s="209">
        <f t="shared" si="2"/>
        <v>4000</v>
      </c>
      <c r="I55" s="98"/>
      <c r="J55" s="213">
        <f t="shared" si="1"/>
        <v>4000</v>
      </c>
    </row>
    <row r="56" spans="1:10" ht="15" customHeight="1">
      <c r="A56" s="98" t="s">
        <v>420</v>
      </c>
      <c r="B56" s="97" t="s">
        <v>421</v>
      </c>
      <c r="C56" s="102">
        <f>C57+C58</f>
        <v>3500</v>
      </c>
      <c r="D56" s="102"/>
      <c r="E56" s="102"/>
      <c r="F56" s="102"/>
      <c r="G56" s="102"/>
      <c r="H56" s="210">
        <f t="shared" si="2"/>
        <v>3500</v>
      </c>
      <c r="I56" s="98"/>
      <c r="J56" s="219">
        <f t="shared" si="1"/>
        <v>3500</v>
      </c>
    </row>
    <row r="57" spans="1:10" ht="30" customHeight="1">
      <c r="A57" s="98" t="s">
        <v>422</v>
      </c>
      <c r="B57" s="190" t="s">
        <v>423</v>
      </c>
      <c r="C57" s="102">
        <v>2000</v>
      </c>
      <c r="D57" s="102"/>
      <c r="E57" s="102"/>
      <c r="F57" s="102"/>
      <c r="G57" s="102"/>
      <c r="H57" s="210">
        <f t="shared" si="2"/>
        <v>2000</v>
      </c>
      <c r="I57" s="98"/>
      <c r="J57" s="219">
        <f t="shared" si="1"/>
        <v>2000</v>
      </c>
    </row>
    <row r="58" spans="1:10" ht="15" customHeight="1">
      <c r="A58" s="98" t="s">
        <v>424</v>
      </c>
      <c r="B58" s="190" t="s">
        <v>425</v>
      </c>
      <c r="C58" s="102">
        <v>1500</v>
      </c>
      <c r="D58" s="102"/>
      <c r="E58" s="102"/>
      <c r="F58" s="102"/>
      <c r="G58" s="102"/>
      <c r="H58" s="210">
        <f t="shared" si="2"/>
        <v>1500</v>
      </c>
      <c r="I58" s="98"/>
      <c r="J58" s="219">
        <f t="shared" si="1"/>
        <v>1500</v>
      </c>
    </row>
    <row r="59" spans="1:10" ht="30" customHeight="1">
      <c r="A59" s="98" t="s">
        <v>426</v>
      </c>
      <c r="B59" s="97" t="s">
        <v>427</v>
      </c>
      <c r="C59" s="102">
        <v>500</v>
      </c>
      <c r="D59" s="102"/>
      <c r="E59" s="102"/>
      <c r="F59" s="102"/>
      <c r="G59" s="102"/>
      <c r="H59" s="210">
        <f t="shared" si="2"/>
        <v>500</v>
      </c>
      <c r="I59" s="98"/>
      <c r="J59" s="219">
        <f t="shared" si="1"/>
        <v>500</v>
      </c>
    </row>
    <row r="60" spans="1:10" ht="15" customHeight="1">
      <c r="A60" s="99" t="s">
        <v>428</v>
      </c>
      <c r="B60" s="100" t="s">
        <v>429</v>
      </c>
      <c r="C60" s="101">
        <f>C61</f>
        <v>63969</v>
      </c>
      <c r="D60" s="101"/>
      <c r="E60" s="102"/>
      <c r="F60" s="102"/>
      <c r="G60" s="102"/>
      <c r="H60" s="209">
        <f t="shared" si="2"/>
        <v>63969</v>
      </c>
      <c r="I60" s="98"/>
      <c r="J60" s="213">
        <f t="shared" si="1"/>
        <v>63969</v>
      </c>
    </row>
    <row r="61" spans="1:10" ht="30" customHeight="1">
      <c r="A61" s="98" t="s">
        <v>430</v>
      </c>
      <c r="B61" s="97" t="s">
        <v>431</v>
      </c>
      <c r="C61" s="102">
        <f>C62</f>
        <v>63969</v>
      </c>
      <c r="D61" s="102"/>
      <c r="E61" s="102"/>
      <c r="F61" s="102"/>
      <c r="G61" s="102"/>
      <c r="H61" s="210">
        <f>H62</f>
        <v>63969</v>
      </c>
      <c r="I61" s="98"/>
      <c r="J61" s="219">
        <f t="shared" si="1"/>
        <v>63969</v>
      </c>
    </row>
    <row r="62" spans="1:10" ht="15" customHeight="1">
      <c r="A62" s="98" t="s">
        <v>432</v>
      </c>
      <c r="B62" s="97" t="s">
        <v>433</v>
      </c>
      <c r="C62" s="102">
        <f>SUM(C63:C67)</f>
        <v>63969</v>
      </c>
      <c r="D62" s="102"/>
      <c r="E62" s="102"/>
      <c r="F62" s="102"/>
      <c r="G62" s="102"/>
      <c r="H62" s="210">
        <f>SUM(H63:H67)</f>
        <v>63969</v>
      </c>
      <c r="I62" s="98"/>
      <c r="J62" s="219">
        <f t="shared" si="1"/>
        <v>63969</v>
      </c>
    </row>
    <row r="63" spans="1:10" ht="15" customHeight="1">
      <c r="A63" s="98"/>
      <c r="B63" s="98" t="s">
        <v>279</v>
      </c>
      <c r="C63" s="102">
        <v>4000</v>
      </c>
      <c r="D63" s="102"/>
      <c r="E63" s="102"/>
      <c r="F63" s="102"/>
      <c r="G63" s="102"/>
      <c r="H63" s="210">
        <f>C63</f>
        <v>4000</v>
      </c>
      <c r="I63" s="98"/>
      <c r="J63" s="219">
        <f t="shared" si="1"/>
        <v>4000</v>
      </c>
    </row>
    <row r="64" spans="1:10" ht="15" customHeight="1">
      <c r="A64" s="98"/>
      <c r="B64" s="98" t="s">
        <v>434</v>
      </c>
      <c r="C64" s="102">
        <v>2120</v>
      </c>
      <c r="D64" s="102"/>
      <c r="E64" s="102"/>
      <c r="F64" s="102"/>
      <c r="G64" s="102"/>
      <c r="H64" s="210">
        <f>C64</f>
        <v>2120</v>
      </c>
      <c r="I64" s="98"/>
      <c r="J64" s="219">
        <f t="shared" si="1"/>
        <v>2120</v>
      </c>
    </row>
    <row r="65" spans="1:10" ht="15" customHeight="1">
      <c r="A65" s="98"/>
      <c r="B65" s="97" t="s">
        <v>49</v>
      </c>
      <c r="C65" s="102">
        <v>420</v>
      </c>
      <c r="D65" s="102"/>
      <c r="E65" s="102"/>
      <c r="F65" s="102"/>
      <c r="G65" s="102"/>
      <c r="H65" s="210">
        <f>C65</f>
        <v>420</v>
      </c>
      <c r="I65" s="98"/>
      <c r="J65" s="219">
        <f t="shared" si="1"/>
        <v>420</v>
      </c>
    </row>
    <row r="66" spans="1:10" ht="15" customHeight="1">
      <c r="A66" s="98"/>
      <c r="B66" s="97" t="s">
        <v>66</v>
      </c>
      <c r="C66" s="102">
        <v>51600</v>
      </c>
      <c r="D66" s="102"/>
      <c r="E66" s="102"/>
      <c r="F66" s="102"/>
      <c r="G66" s="102"/>
      <c r="H66" s="210">
        <f>C66</f>
        <v>51600</v>
      </c>
      <c r="I66" s="98"/>
      <c r="J66" s="219">
        <f t="shared" si="1"/>
        <v>51600</v>
      </c>
    </row>
    <row r="67" spans="1:10" ht="30" customHeight="1">
      <c r="A67" s="98"/>
      <c r="B67" s="97" t="s">
        <v>435</v>
      </c>
      <c r="C67" s="191">
        <v>5829</v>
      </c>
      <c r="D67" s="191"/>
      <c r="E67" s="102"/>
      <c r="F67" s="102"/>
      <c r="G67" s="102"/>
      <c r="H67" s="210">
        <f>C67</f>
        <v>5829</v>
      </c>
      <c r="I67" s="98"/>
      <c r="J67" s="219">
        <f t="shared" si="1"/>
        <v>5829</v>
      </c>
    </row>
    <row r="68" spans="1:10" ht="30" customHeight="1">
      <c r="A68" s="99" t="s">
        <v>436</v>
      </c>
      <c r="B68" s="100" t="s">
        <v>437</v>
      </c>
      <c r="C68" s="101">
        <f>C69+C70</f>
        <v>520000</v>
      </c>
      <c r="D68" s="101"/>
      <c r="E68" s="102"/>
      <c r="F68" s="102"/>
      <c r="G68" s="102"/>
      <c r="H68" s="209">
        <f>H69+H70</f>
        <v>520000</v>
      </c>
      <c r="I68" s="98"/>
      <c r="J68" s="213">
        <f t="shared" si="1"/>
        <v>520000</v>
      </c>
    </row>
    <row r="69" spans="1:10" ht="15" customHeight="1">
      <c r="A69" s="98" t="s">
        <v>438</v>
      </c>
      <c r="B69" s="97" t="s">
        <v>439</v>
      </c>
      <c r="C69" s="102">
        <v>20000</v>
      </c>
      <c r="D69" s="102"/>
      <c r="E69" s="102"/>
      <c r="F69" s="102"/>
      <c r="G69" s="102"/>
      <c r="H69" s="210">
        <f>C69</f>
        <v>20000</v>
      </c>
      <c r="I69" s="98"/>
      <c r="J69" s="219">
        <f t="shared" si="1"/>
        <v>20000</v>
      </c>
    </row>
    <row r="70" spans="1:10" ht="15" customHeight="1">
      <c r="A70" s="98" t="s">
        <v>440</v>
      </c>
      <c r="B70" s="98" t="s">
        <v>441</v>
      </c>
      <c r="C70" s="102">
        <f>C71+C72</f>
        <v>500000</v>
      </c>
      <c r="D70" s="102"/>
      <c r="E70" s="102"/>
      <c r="F70" s="102"/>
      <c r="G70" s="102"/>
      <c r="H70" s="210">
        <f>C70</f>
        <v>500000</v>
      </c>
      <c r="I70" s="98"/>
      <c r="J70" s="219">
        <f t="shared" si="1"/>
        <v>500000</v>
      </c>
    </row>
    <row r="71" spans="1:10" ht="15" customHeight="1">
      <c r="A71" s="98" t="s">
        <v>442</v>
      </c>
      <c r="B71" s="98" t="s">
        <v>443</v>
      </c>
      <c r="C71" s="102">
        <v>500000</v>
      </c>
      <c r="D71" s="102"/>
      <c r="E71" s="102"/>
      <c r="F71" s="102"/>
      <c r="G71" s="102"/>
      <c r="H71" s="210">
        <f>C71</f>
        <v>500000</v>
      </c>
      <c r="I71" s="98"/>
      <c r="J71" s="219">
        <f t="shared" si="1"/>
        <v>500000</v>
      </c>
    </row>
    <row r="72" spans="1:10" ht="15" customHeight="1">
      <c r="A72" s="98" t="s">
        <v>444</v>
      </c>
      <c r="B72" s="98" t="s">
        <v>445</v>
      </c>
      <c r="C72" s="102"/>
      <c r="D72" s="102"/>
      <c r="E72" s="102"/>
      <c r="F72" s="102"/>
      <c r="G72" s="102"/>
      <c r="H72" s="210">
        <f>C72</f>
        <v>0</v>
      </c>
      <c r="I72" s="98"/>
      <c r="J72" s="219">
        <f t="shared" si="1"/>
        <v>0</v>
      </c>
    </row>
    <row r="73" spans="1:10" ht="47.1" customHeight="1">
      <c r="A73" s="99" t="s">
        <v>446</v>
      </c>
      <c r="B73" s="100" t="s">
        <v>447</v>
      </c>
      <c r="C73" s="101"/>
      <c r="D73" s="101"/>
      <c r="E73" s="101"/>
      <c r="F73" s="101">
        <f>F75+F74</f>
        <v>80900</v>
      </c>
      <c r="G73" s="101"/>
      <c r="H73" s="209">
        <f t="shared" si="3" ref="H73:H88">F73</f>
        <v>80900</v>
      </c>
      <c r="I73" s="98"/>
      <c r="J73" s="213">
        <f t="shared" si="1"/>
        <v>80900</v>
      </c>
    </row>
    <row r="74" spans="1:10" ht="30.6" customHeight="1">
      <c r="A74" s="98" t="s">
        <v>817</v>
      </c>
      <c r="B74" s="192" t="s">
        <v>820</v>
      </c>
      <c r="C74" s="101"/>
      <c r="D74" s="101"/>
      <c r="E74" s="101"/>
      <c r="F74" s="102">
        <v>8000</v>
      </c>
      <c r="G74" s="102"/>
      <c r="H74" s="210">
        <f t="shared" si="3"/>
        <v>8000</v>
      </c>
      <c r="I74" s="98"/>
      <c r="J74" s="219">
        <f t="shared" si="1"/>
        <v>8000</v>
      </c>
    </row>
    <row r="75" spans="1:10" ht="47.1" customHeight="1">
      <c r="A75" s="98" t="s">
        <v>449</v>
      </c>
      <c r="B75" s="193" t="s">
        <v>448</v>
      </c>
      <c r="C75" s="102"/>
      <c r="D75" s="102"/>
      <c r="E75" s="102"/>
      <c r="F75" s="102">
        <v>72900</v>
      </c>
      <c r="G75" s="102"/>
      <c r="H75" s="210">
        <f t="shared" si="3"/>
        <v>72900</v>
      </c>
      <c r="I75" s="98"/>
      <c r="J75" s="219">
        <f t="shared" si="1"/>
        <v>72900</v>
      </c>
    </row>
    <row r="76" spans="1:10" ht="15" customHeight="1">
      <c r="A76" s="99" t="s">
        <v>451</v>
      </c>
      <c r="B76" s="99" t="s">
        <v>452</v>
      </c>
      <c r="C76" s="101"/>
      <c r="D76" s="101"/>
      <c r="E76" s="101"/>
      <c r="F76" s="101">
        <f>F77+F135+F125+F136</f>
        <v>13926515</v>
      </c>
      <c r="G76" s="101">
        <f>G77</f>
        <v>72644</v>
      </c>
      <c r="H76" s="209">
        <f t="shared" si="3"/>
        <v>13926515</v>
      </c>
      <c r="I76" s="101">
        <f>I77</f>
        <v>72644</v>
      </c>
      <c r="J76" s="213">
        <f t="shared" si="1"/>
        <v>13999159</v>
      </c>
    </row>
    <row r="77" spans="1:10" ht="30" customHeight="1">
      <c r="A77" s="99" t="s">
        <v>453</v>
      </c>
      <c r="B77" s="100" t="s">
        <v>454</v>
      </c>
      <c r="C77" s="101"/>
      <c r="D77" s="101"/>
      <c r="E77" s="101"/>
      <c r="F77" s="101">
        <f>F78+F79+F80+F81+F82+F83+F84+F85+F86+F88+F103+F104+F105+F106+F116+F117+F118+F121+F122+F123+F124+F87</f>
        <v>7416429</v>
      </c>
      <c r="G77" s="101">
        <f>G78+G79+G80+G81+G82+G83+G84+G85+G86+G88+G103+G104+G105+G106+G116+G117+G118+G121+G122+G123+G124+G87</f>
        <v>72644</v>
      </c>
      <c r="H77" s="209">
        <f>F77</f>
        <v>7416429</v>
      </c>
      <c r="I77" s="101">
        <f>D77+G77</f>
        <v>72644</v>
      </c>
      <c r="J77" s="213">
        <f>H77+I77</f>
        <v>7489073</v>
      </c>
    </row>
    <row r="78" spans="1:10" ht="45" customHeight="1">
      <c r="A78" s="98" t="s">
        <v>455</v>
      </c>
      <c r="B78" s="97" t="s">
        <v>456</v>
      </c>
      <c r="C78" s="102"/>
      <c r="D78" s="102"/>
      <c r="E78" s="102"/>
      <c r="F78" s="102">
        <v>3251056</v>
      </c>
      <c r="G78" s="102"/>
      <c r="H78" s="210">
        <f t="shared" si="3"/>
        <v>3251056</v>
      </c>
      <c r="I78" s="98"/>
      <c r="J78" s="219">
        <f t="shared" si="4" ref="J78:J141">H78+I78</f>
        <v>3251056</v>
      </c>
    </row>
    <row r="79" spans="1:10" ht="60" customHeight="1">
      <c r="A79" s="98" t="s">
        <v>455</v>
      </c>
      <c r="B79" s="97" t="s">
        <v>457</v>
      </c>
      <c r="C79" s="102"/>
      <c r="D79" s="102"/>
      <c r="E79" s="102"/>
      <c r="F79" s="102">
        <v>182000</v>
      </c>
      <c r="G79" s="102"/>
      <c r="H79" s="210">
        <f t="shared" si="3"/>
        <v>182000</v>
      </c>
      <c r="I79" s="98"/>
      <c r="J79" s="219">
        <f t="shared" si="4"/>
        <v>182000</v>
      </c>
    </row>
    <row r="80" spans="1:10" ht="45" customHeight="1">
      <c r="A80" s="98" t="s">
        <v>455</v>
      </c>
      <c r="B80" s="97" t="s">
        <v>458</v>
      </c>
      <c r="C80" s="102"/>
      <c r="D80" s="102"/>
      <c r="E80" s="102"/>
      <c r="F80" s="102">
        <v>157847</v>
      </c>
      <c r="G80" s="102"/>
      <c r="H80" s="210">
        <f t="shared" si="3"/>
        <v>157847</v>
      </c>
      <c r="I80" s="98"/>
      <c r="J80" s="219">
        <f t="shared" si="4"/>
        <v>157847</v>
      </c>
    </row>
    <row r="81" spans="1:10" ht="60" customHeight="1">
      <c r="A81" s="98" t="s">
        <v>459</v>
      </c>
      <c r="B81" s="97" t="s">
        <v>460</v>
      </c>
      <c r="C81" s="102"/>
      <c r="D81" s="102"/>
      <c r="E81" s="102"/>
      <c r="F81" s="102">
        <v>581731</v>
      </c>
      <c r="G81" s="102"/>
      <c r="H81" s="210">
        <f t="shared" si="3"/>
        <v>581731</v>
      </c>
      <c r="I81" s="98"/>
      <c r="J81" s="219">
        <f t="shared" si="4"/>
        <v>581731</v>
      </c>
    </row>
    <row r="82" spans="1:10" ht="30" customHeight="1">
      <c r="A82" s="98" t="s">
        <v>461</v>
      </c>
      <c r="B82" s="117" t="s">
        <v>462</v>
      </c>
      <c r="C82" s="102"/>
      <c r="D82" s="102"/>
      <c r="E82" s="102"/>
      <c r="F82" s="102">
        <v>21550</v>
      </c>
      <c r="G82" s="102"/>
      <c r="H82" s="210">
        <f t="shared" si="3"/>
        <v>21550</v>
      </c>
      <c r="I82" s="98"/>
      <c r="J82" s="219">
        <f t="shared" si="4"/>
        <v>21550</v>
      </c>
    </row>
    <row r="83" spans="1:10" ht="15" customHeight="1">
      <c r="A83" s="98" t="s">
        <v>463</v>
      </c>
      <c r="B83" s="97" t="s">
        <v>464</v>
      </c>
      <c r="C83" s="102"/>
      <c r="D83" s="102"/>
      <c r="E83" s="102"/>
      <c r="F83" s="102">
        <v>963135</v>
      </c>
      <c r="G83" s="102"/>
      <c r="H83" s="210">
        <f t="shared" si="3"/>
        <v>963135</v>
      </c>
      <c r="I83" s="98"/>
      <c r="J83" s="219">
        <f t="shared" si="4"/>
        <v>963135</v>
      </c>
    </row>
    <row r="84" spans="1:10" ht="15" customHeight="1">
      <c r="A84" s="98" t="s">
        <v>465</v>
      </c>
      <c r="B84" s="98" t="s">
        <v>466</v>
      </c>
      <c r="C84" s="102"/>
      <c r="D84" s="102"/>
      <c r="E84" s="102"/>
      <c r="F84" s="102">
        <v>374372</v>
      </c>
      <c r="G84" s="102"/>
      <c r="H84" s="210">
        <f t="shared" si="3"/>
        <v>374372</v>
      </c>
      <c r="I84" s="98"/>
      <c r="J84" s="219">
        <f t="shared" si="4"/>
        <v>374372</v>
      </c>
    </row>
    <row r="85" spans="1:10" ht="15" customHeight="1">
      <c r="A85" s="98" t="s">
        <v>467</v>
      </c>
      <c r="B85" s="98" t="s">
        <v>468</v>
      </c>
      <c r="C85" s="102"/>
      <c r="D85" s="102"/>
      <c r="E85" s="102"/>
      <c r="F85" s="102">
        <v>538057</v>
      </c>
      <c r="G85" s="102"/>
      <c r="H85" s="210">
        <f t="shared" si="3"/>
        <v>538057</v>
      </c>
      <c r="I85" s="86"/>
      <c r="J85" s="219">
        <f t="shared" si="4"/>
        <v>538057</v>
      </c>
    </row>
    <row r="86" spans="1:10" ht="30" customHeight="1">
      <c r="A86" s="98" t="s">
        <v>469</v>
      </c>
      <c r="B86" s="97" t="s">
        <v>470</v>
      </c>
      <c r="C86" s="102"/>
      <c r="D86" s="102"/>
      <c r="E86" s="102"/>
      <c r="F86" s="102">
        <v>161226</v>
      </c>
      <c r="G86" s="102"/>
      <c r="H86" s="210">
        <f t="shared" si="3"/>
        <v>161226</v>
      </c>
      <c r="I86" s="98"/>
      <c r="J86" s="219">
        <f t="shared" si="4"/>
        <v>161226</v>
      </c>
    </row>
    <row r="87" spans="1:10" ht="30" customHeight="1">
      <c r="A87" s="98" t="s">
        <v>843</v>
      </c>
      <c r="B87" s="97" t="s">
        <v>844</v>
      </c>
      <c r="C87" s="102"/>
      <c r="D87" s="102"/>
      <c r="E87" s="102"/>
      <c r="F87" s="102"/>
      <c r="G87" s="102">
        <v>72644</v>
      </c>
      <c r="H87" s="210">
        <v>0</v>
      </c>
      <c r="I87" s="102">
        <f>D87+G87</f>
        <v>72644</v>
      </c>
      <c r="J87" s="219">
        <f t="shared" si="4"/>
        <v>72644</v>
      </c>
    </row>
    <row r="88" spans="1:10" ht="45" customHeight="1">
      <c r="A88" s="98" t="s">
        <v>471</v>
      </c>
      <c r="B88" s="97" t="s">
        <v>472</v>
      </c>
      <c r="C88" s="102"/>
      <c r="D88" s="102"/>
      <c r="E88" s="102"/>
      <c r="F88" s="102">
        <f>SUM(F89:F102)</f>
        <v>26598</v>
      </c>
      <c r="G88" s="102"/>
      <c r="H88" s="210">
        <f t="shared" si="3"/>
        <v>26598</v>
      </c>
      <c r="I88" s="86"/>
      <c r="J88" s="219">
        <f t="shared" si="4"/>
        <v>26598</v>
      </c>
    </row>
    <row r="89" spans="1:10" ht="15" customHeight="1">
      <c r="A89" s="98"/>
      <c r="B89" s="97" t="s">
        <v>473</v>
      </c>
      <c r="C89" s="102"/>
      <c r="D89" s="102"/>
      <c r="E89" s="102"/>
      <c r="F89" s="102">
        <v>403</v>
      </c>
      <c r="G89" s="102"/>
      <c r="H89" s="210">
        <f t="shared" si="5" ref="H89:H102">C89+E89+F89</f>
        <v>403</v>
      </c>
      <c r="I89" s="86"/>
      <c r="J89" s="219">
        <f t="shared" si="4"/>
        <v>403</v>
      </c>
    </row>
    <row r="90" spans="1:10" ht="15" customHeight="1">
      <c r="A90" s="98"/>
      <c r="B90" s="97" t="s">
        <v>155</v>
      </c>
      <c r="C90" s="102"/>
      <c r="D90" s="102"/>
      <c r="E90" s="102"/>
      <c r="F90" s="102">
        <v>2015</v>
      </c>
      <c r="G90" s="102"/>
      <c r="H90" s="210">
        <f t="shared" si="5"/>
        <v>2015</v>
      </c>
      <c r="I90" s="86"/>
      <c r="J90" s="219">
        <f t="shared" si="4"/>
        <v>2015</v>
      </c>
    </row>
    <row r="91" spans="1:10" ht="15" customHeight="1">
      <c r="A91" s="98"/>
      <c r="B91" s="97" t="s">
        <v>80</v>
      </c>
      <c r="C91" s="102"/>
      <c r="D91" s="102"/>
      <c r="E91" s="102"/>
      <c r="F91" s="102">
        <v>6851</v>
      </c>
      <c r="G91" s="102"/>
      <c r="H91" s="210">
        <f t="shared" si="5"/>
        <v>6851</v>
      </c>
      <c r="I91" s="86"/>
      <c r="J91" s="219">
        <f t="shared" si="4"/>
        <v>6851</v>
      </c>
    </row>
    <row r="92" spans="1:10" ht="15" customHeight="1">
      <c r="A92" s="98"/>
      <c r="B92" s="97" t="s">
        <v>191</v>
      </c>
      <c r="C92" s="102"/>
      <c r="D92" s="102"/>
      <c r="E92" s="102"/>
      <c r="F92" s="102">
        <v>3224</v>
      </c>
      <c r="G92" s="102"/>
      <c r="H92" s="210">
        <f t="shared" si="5"/>
        <v>3224</v>
      </c>
      <c r="I92" s="86"/>
      <c r="J92" s="219">
        <f t="shared" si="4"/>
        <v>3224</v>
      </c>
    </row>
    <row r="93" spans="1:10" ht="15" customHeight="1">
      <c r="A93" s="98"/>
      <c r="B93" s="97" t="s">
        <v>160</v>
      </c>
      <c r="C93" s="102"/>
      <c r="D93" s="102"/>
      <c r="E93" s="102"/>
      <c r="F93" s="102">
        <v>1612</v>
      </c>
      <c r="G93" s="102"/>
      <c r="H93" s="210">
        <f t="shared" si="5"/>
        <v>1612</v>
      </c>
      <c r="I93" s="86"/>
      <c r="J93" s="219">
        <f t="shared" si="4"/>
        <v>1612</v>
      </c>
    </row>
    <row r="94" spans="1:10" ht="15" customHeight="1">
      <c r="A94" s="98"/>
      <c r="B94" s="97" t="s">
        <v>474</v>
      </c>
      <c r="C94" s="102"/>
      <c r="D94" s="102"/>
      <c r="E94" s="102"/>
      <c r="F94" s="102">
        <v>2015</v>
      </c>
      <c r="G94" s="102"/>
      <c r="H94" s="210">
        <f t="shared" si="5"/>
        <v>2015</v>
      </c>
      <c r="I94" s="86"/>
      <c r="J94" s="219">
        <f t="shared" si="4"/>
        <v>2015</v>
      </c>
    </row>
    <row r="95" spans="1:10" ht="15" customHeight="1">
      <c r="A95" s="98"/>
      <c r="B95" s="97" t="s">
        <v>475</v>
      </c>
      <c r="C95" s="102"/>
      <c r="D95" s="102"/>
      <c r="E95" s="102"/>
      <c r="F95" s="102">
        <v>1209</v>
      </c>
      <c r="G95" s="102"/>
      <c r="H95" s="210">
        <f t="shared" si="5"/>
        <v>1209</v>
      </c>
      <c r="I95" s="86"/>
      <c r="J95" s="219">
        <f t="shared" si="4"/>
        <v>1209</v>
      </c>
    </row>
    <row r="96" spans="1:10" ht="15" customHeight="1">
      <c r="A96" s="98"/>
      <c r="B96" s="97" t="s">
        <v>476</v>
      </c>
      <c r="C96" s="102"/>
      <c r="D96" s="102"/>
      <c r="E96" s="102"/>
      <c r="F96" s="102">
        <v>4030</v>
      </c>
      <c r="G96" s="102"/>
      <c r="H96" s="210">
        <f t="shared" si="5"/>
        <v>4030</v>
      </c>
      <c r="I96" s="86"/>
      <c r="J96" s="219">
        <f t="shared" si="4"/>
        <v>4030</v>
      </c>
    </row>
    <row r="97" spans="1:10" ht="15" customHeight="1">
      <c r="A97" s="98"/>
      <c r="B97" s="97" t="s">
        <v>200</v>
      </c>
      <c r="C97" s="102"/>
      <c r="D97" s="102"/>
      <c r="E97" s="102"/>
      <c r="F97" s="102">
        <v>403</v>
      </c>
      <c r="G97" s="102"/>
      <c r="H97" s="210">
        <f t="shared" si="5"/>
        <v>403</v>
      </c>
      <c r="I97" s="86"/>
      <c r="J97" s="219">
        <f t="shared" si="4"/>
        <v>403</v>
      </c>
    </row>
    <row r="98" spans="1:10" ht="15" customHeight="1">
      <c r="A98" s="98"/>
      <c r="B98" s="97" t="s">
        <v>309</v>
      </c>
      <c r="C98" s="102"/>
      <c r="D98" s="102"/>
      <c r="E98" s="102"/>
      <c r="F98" s="102">
        <v>1612</v>
      </c>
      <c r="G98" s="102"/>
      <c r="H98" s="210">
        <f t="shared" si="5"/>
        <v>1612</v>
      </c>
      <c r="I98" s="86"/>
      <c r="J98" s="219">
        <f t="shared" si="4"/>
        <v>1612</v>
      </c>
    </row>
    <row r="99" spans="1:10" ht="15" customHeight="1">
      <c r="A99" s="98"/>
      <c r="B99" s="97" t="s">
        <v>477</v>
      </c>
      <c r="C99" s="102"/>
      <c r="D99" s="102"/>
      <c r="E99" s="102"/>
      <c r="F99" s="102">
        <v>1209</v>
      </c>
      <c r="G99" s="102"/>
      <c r="H99" s="210">
        <f t="shared" si="5"/>
        <v>1209</v>
      </c>
      <c r="I99" s="86"/>
      <c r="J99" s="219">
        <f t="shared" si="4"/>
        <v>1209</v>
      </c>
    </row>
    <row r="100" spans="1:10" ht="15" customHeight="1">
      <c r="A100" s="98"/>
      <c r="B100" s="97" t="s">
        <v>156</v>
      </c>
      <c r="C100" s="102"/>
      <c r="D100" s="102"/>
      <c r="E100" s="102"/>
      <c r="F100" s="102">
        <v>403</v>
      </c>
      <c r="G100" s="102"/>
      <c r="H100" s="210">
        <f t="shared" si="5"/>
        <v>403</v>
      </c>
      <c r="I100" s="86"/>
      <c r="J100" s="219">
        <f t="shared" si="4"/>
        <v>403</v>
      </c>
    </row>
    <row r="101" spans="1:10" ht="15" customHeight="1">
      <c r="A101" s="98"/>
      <c r="B101" s="97" t="s">
        <v>478</v>
      </c>
      <c r="C101" s="102"/>
      <c r="D101" s="102"/>
      <c r="E101" s="102"/>
      <c r="F101" s="102">
        <v>403</v>
      </c>
      <c r="G101" s="102"/>
      <c r="H101" s="210">
        <f t="shared" si="5"/>
        <v>403</v>
      </c>
      <c r="I101" s="86"/>
      <c r="J101" s="219">
        <f t="shared" si="4"/>
        <v>403</v>
      </c>
    </row>
    <row r="102" spans="1:10" ht="15" customHeight="1">
      <c r="A102" s="98"/>
      <c r="B102" s="97" t="s">
        <v>217</v>
      </c>
      <c r="C102" s="102"/>
      <c r="D102" s="102"/>
      <c r="E102" s="102"/>
      <c r="F102" s="102">
        <v>1209</v>
      </c>
      <c r="G102" s="102"/>
      <c r="H102" s="210">
        <f t="shared" si="5"/>
        <v>1209</v>
      </c>
      <c r="I102" s="86"/>
      <c r="J102" s="219">
        <f t="shared" si="4"/>
        <v>1209</v>
      </c>
    </row>
    <row r="103" spans="1:10" ht="30" customHeight="1">
      <c r="A103" s="98" t="s">
        <v>479</v>
      </c>
      <c r="B103" s="97" t="s">
        <v>480</v>
      </c>
      <c r="C103" s="102"/>
      <c r="D103" s="102"/>
      <c r="E103" s="102"/>
      <c r="F103" s="102">
        <v>26000</v>
      </c>
      <c r="G103" s="102"/>
      <c r="H103" s="210">
        <f t="shared" si="6" ref="H103:H136">F103</f>
        <v>26000</v>
      </c>
      <c r="I103" s="86"/>
      <c r="J103" s="219">
        <f t="shared" si="4"/>
        <v>26000</v>
      </c>
    </row>
    <row r="104" spans="1:10" ht="15" customHeight="1">
      <c r="A104" s="98"/>
      <c r="B104" s="117" t="s">
        <v>481</v>
      </c>
      <c r="C104" s="102"/>
      <c r="D104" s="102"/>
      <c r="E104" s="102"/>
      <c r="F104" s="102">
        <v>12789</v>
      </c>
      <c r="G104" s="102"/>
      <c r="H104" s="210">
        <f t="shared" si="6"/>
        <v>12789</v>
      </c>
      <c r="I104" s="86"/>
      <c r="J104" s="219">
        <f t="shared" si="4"/>
        <v>12789</v>
      </c>
    </row>
    <row r="105" spans="1:10" ht="30" customHeight="1">
      <c r="A105" s="98" t="s">
        <v>482</v>
      </c>
      <c r="B105" s="97" t="s">
        <v>753</v>
      </c>
      <c r="C105" s="102"/>
      <c r="D105" s="102"/>
      <c r="E105" s="102"/>
      <c r="F105" s="102">
        <v>4770</v>
      </c>
      <c r="G105" s="102"/>
      <c r="H105" s="210">
        <f t="shared" si="6"/>
        <v>4770</v>
      </c>
      <c r="I105" s="86"/>
      <c r="J105" s="219">
        <f t="shared" si="4"/>
        <v>4770</v>
      </c>
    </row>
    <row r="106" spans="1:10" ht="15" customHeight="1">
      <c r="A106" s="98" t="s">
        <v>483</v>
      </c>
      <c r="B106" s="98" t="s">
        <v>484</v>
      </c>
      <c r="C106" s="102"/>
      <c r="D106" s="102"/>
      <c r="E106" s="102"/>
      <c r="F106" s="102">
        <f>SUM(F107:F115)</f>
        <v>115434</v>
      </c>
      <c r="G106" s="102"/>
      <c r="H106" s="210">
        <f t="shared" si="6"/>
        <v>115434</v>
      </c>
      <c r="I106" s="86"/>
      <c r="J106" s="219">
        <f t="shared" si="4"/>
        <v>115434</v>
      </c>
    </row>
    <row r="107" spans="1:10" s="90" customFormat="1" ht="15" customHeight="1">
      <c r="A107" s="166"/>
      <c r="B107" s="122" t="s">
        <v>485</v>
      </c>
      <c r="C107" s="121"/>
      <c r="D107" s="121"/>
      <c r="E107" s="121"/>
      <c r="F107" s="121">
        <v>12896</v>
      </c>
      <c r="G107" s="121"/>
      <c r="H107" s="211">
        <f t="shared" si="6"/>
        <v>12896</v>
      </c>
      <c r="I107" s="214"/>
      <c r="J107" s="219">
        <f t="shared" si="4"/>
        <v>12896</v>
      </c>
    </row>
    <row r="108" spans="1:10" s="90" customFormat="1" ht="15" customHeight="1">
      <c r="A108" s="166"/>
      <c r="B108" s="122" t="s">
        <v>486</v>
      </c>
      <c r="C108" s="121"/>
      <c r="D108" s="121"/>
      <c r="E108" s="121"/>
      <c r="F108" s="121">
        <v>12266</v>
      </c>
      <c r="G108" s="121"/>
      <c r="H108" s="211">
        <f t="shared" si="6"/>
        <v>12266</v>
      </c>
      <c r="I108" s="214"/>
      <c r="J108" s="219">
        <f t="shared" si="4"/>
        <v>12266</v>
      </c>
    </row>
    <row r="109" spans="1:10" s="90" customFormat="1" ht="15" customHeight="1">
      <c r="A109" s="166"/>
      <c r="B109" s="122" t="s">
        <v>487</v>
      </c>
      <c r="C109" s="121"/>
      <c r="D109" s="121"/>
      <c r="E109" s="121"/>
      <c r="F109" s="121">
        <v>12896</v>
      </c>
      <c r="G109" s="121"/>
      <c r="H109" s="211">
        <f t="shared" si="6"/>
        <v>12896</v>
      </c>
      <c r="I109" s="214"/>
      <c r="J109" s="219">
        <f t="shared" si="4"/>
        <v>12896</v>
      </c>
    </row>
    <row r="110" spans="1:10" s="90" customFormat="1" ht="15" customHeight="1">
      <c r="A110" s="166"/>
      <c r="B110" s="122" t="s">
        <v>488</v>
      </c>
      <c r="C110" s="121"/>
      <c r="D110" s="121"/>
      <c r="E110" s="121"/>
      <c r="F110" s="121">
        <v>12896</v>
      </c>
      <c r="G110" s="121"/>
      <c r="H110" s="211">
        <f t="shared" si="6"/>
        <v>12896</v>
      </c>
      <c r="I110" s="214"/>
      <c r="J110" s="219">
        <f t="shared" si="4"/>
        <v>12896</v>
      </c>
    </row>
    <row r="111" spans="1:10" s="90" customFormat="1" ht="15" customHeight="1">
      <c r="A111" s="166"/>
      <c r="B111" s="122" t="s">
        <v>489</v>
      </c>
      <c r="C111" s="121"/>
      <c r="D111" s="121"/>
      <c r="E111" s="121"/>
      <c r="F111" s="121">
        <v>12896</v>
      </c>
      <c r="G111" s="121"/>
      <c r="H111" s="211">
        <f t="shared" si="6"/>
        <v>12896</v>
      </c>
      <c r="I111" s="214"/>
      <c r="J111" s="219">
        <f t="shared" si="4"/>
        <v>12896</v>
      </c>
    </row>
    <row r="112" spans="1:10" s="90" customFormat="1" ht="15" customHeight="1">
      <c r="A112" s="166"/>
      <c r="B112" s="122" t="s">
        <v>490</v>
      </c>
      <c r="C112" s="121"/>
      <c r="D112" s="121"/>
      <c r="E112" s="121"/>
      <c r="F112" s="121">
        <v>12896</v>
      </c>
      <c r="G112" s="121"/>
      <c r="H112" s="211">
        <f t="shared" si="6"/>
        <v>12896</v>
      </c>
      <c r="I112" s="214"/>
      <c r="J112" s="219">
        <f t="shared" si="4"/>
        <v>12896</v>
      </c>
    </row>
    <row r="113" spans="1:10" s="90" customFormat="1" ht="15" customHeight="1">
      <c r="A113" s="166"/>
      <c r="B113" s="122" t="s">
        <v>153</v>
      </c>
      <c r="C113" s="121"/>
      <c r="D113" s="121"/>
      <c r="E113" s="121"/>
      <c r="F113" s="121">
        <v>12896</v>
      </c>
      <c r="G113" s="121"/>
      <c r="H113" s="211">
        <f t="shared" si="6"/>
        <v>12896</v>
      </c>
      <c r="I113" s="214"/>
      <c r="J113" s="219">
        <f t="shared" si="4"/>
        <v>12896</v>
      </c>
    </row>
    <row r="114" spans="1:10" s="90" customFormat="1" ht="15" customHeight="1">
      <c r="A114" s="166"/>
      <c r="B114" s="122" t="s">
        <v>491</v>
      </c>
      <c r="C114" s="121"/>
      <c r="D114" s="121"/>
      <c r="E114" s="121"/>
      <c r="F114" s="121">
        <v>12896</v>
      </c>
      <c r="G114" s="121"/>
      <c r="H114" s="211">
        <f t="shared" si="6"/>
        <v>12896</v>
      </c>
      <c r="I114" s="214"/>
      <c r="J114" s="219">
        <f t="shared" si="4"/>
        <v>12896</v>
      </c>
    </row>
    <row r="115" spans="1:10" s="90" customFormat="1" ht="15" customHeight="1">
      <c r="A115" s="166"/>
      <c r="B115" s="122" t="s">
        <v>492</v>
      </c>
      <c r="C115" s="121"/>
      <c r="D115" s="121"/>
      <c r="E115" s="121"/>
      <c r="F115" s="121">
        <v>12896</v>
      </c>
      <c r="G115" s="121"/>
      <c r="H115" s="211">
        <f t="shared" si="6"/>
        <v>12896</v>
      </c>
      <c r="I115" s="214"/>
      <c r="J115" s="219">
        <f t="shared" si="4"/>
        <v>12896</v>
      </c>
    </row>
    <row r="116" spans="1:10" ht="15" customHeight="1">
      <c r="A116" s="98"/>
      <c r="B116" s="119" t="s">
        <v>188</v>
      </c>
      <c r="C116" s="102"/>
      <c r="D116" s="102"/>
      <c r="E116" s="102"/>
      <c r="F116" s="121">
        <v>19829</v>
      </c>
      <c r="G116" s="121"/>
      <c r="H116" s="211">
        <f t="shared" si="6"/>
        <v>19829</v>
      </c>
      <c r="I116" s="86"/>
      <c r="J116" s="219">
        <f t="shared" si="4"/>
        <v>19829</v>
      </c>
    </row>
    <row r="117" spans="1:10" ht="30" customHeight="1">
      <c r="A117" s="98" t="s">
        <v>493</v>
      </c>
      <c r="B117" s="97" t="s">
        <v>494</v>
      </c>
      <c r="C117" s="102"/>
      <c r="D117" s="102"/>
      <c r="E117" s="102"/>
      <c r="F117" s="102">
        <v>632852</v>
      </c>
      <c r="G117" s="102"/>
      <c r="H117" s="210">
        <f t="shared" si="6"/>
        <v>632852</v>
      </c>
      <c r="I117" s="86"/>
      <c r="J117" s="219">
        <f t="shared" si="4"/>
        <v>632852</v>
      </c>
    </row>
    <row r="118" spans="1:10" ht="30" customHeight="1">
      <c r="A118" s="98"/>
      <c r="B118" s="117" t="s">
        <v>253</v>
      </c>
      <c r="C118" s="102"/>
      <c r="D118" s="102"/>
      <c r="E118" s="102"/>
      <c r="F118" s="102">
        <v>46467</v>
      </c>
      <c r="G118" s="102"/>
      <c r="H118" s="210">
        <f t="shared" si="6"/>
        <v>46467</v>
      </c>
      <c r="I118" s="86"/>
      <c r="J118" s="219">
        <f t="shared" si="4"/>
        <v>46467</v>
      </c>
    </row>
    <row r="119" spans="1:10" ht="30" customHeight="1">
      <c r="A119" s="98" t="s">
        <v>771</v>
      </c>
      <c r="B119" s="117" t="s">
        <v>772</v>
      </c>
      <c r="C119" s="102"/>
      <c r="D119" s="102"/>
      <c r="E119" s="102"/>
      <c r="F119" s="102">
        <v>60100</v>
      </c>
      <c r="G119" s="102"/>
      <c r="H119" s="210">
        <f t="shared" si="6"/>
        <v>60100</v>
      </c>
      <c r="I119" s="86"/>
      <c r="J119" s="219">
        <f t="shared" si="4"/>
        <v>60100</v>
      </c>
    </row>
    <row r="120" spans="1:10" ht="30" customHeight="1">
      <c r="A120" s="98" t="s">
        <v>822</v>
      </c>
      <c r="B120" s="117" t="s">
        <v>821</v>
      </c>
      <c r="C120" s="102"/>
      <c r="D120" s="102"/>
      <c r="E120" s="102"/>
      <c r="F120" s="102">
        <v>4729</v>
      </c>
      <c r="G120" s="102"/>
      <c r="H120" s="210">
        <f t="shared" si="6"/>
        <v>4729</v>
      </c>
      <c r="I120" s="86"/>
      <c r="J120" s="219">
        <f t="shared" si="4"/>
        <v>4729</v>
      </c>
    </row>
    <row r="121" spans="1:10" ht="22.5" customHeight="1">
      <c r="A121" s="98" t="s">
        <v>495</v>
      </c>
      <c r="B121" s="194" t="s">
        <v>685</v>
      </c>
      <c r="C121" s="102"/>
      <c r="D121" s="102"/>
      <c r="E121" s="102"/>
      <c r="F121" s="102">
        <v>34992</v>
      </c>
      <c r="G121" s="102"/>
      <c r="H121" s="210">
        <f t="shared" si="6"/>
        <v>34992</v>
      </c>
      <c r="I121" s="86"/>
      <c r="J121" s="219">
        <f t="shared" si="4"/>
        <v>34992</v>
      </c>
    </row>
    <row r="122" spans="1:10" ht="30" customHeight="1">
      <c r="A122" s="98" t="s">
        <v>496</v>
      </c>
      <c r="B122" s="194" t="s">
        <v>690</v>
      </c>
      <c r="C122" s="102"/>
      <c r="D122" s="102"/>
      <c r="E122" s="102"/>
      <c r="F122" s="102">
        <v>2000</v>
      </c>
      <c r="G122" s="102"/>
      <c r="H122" s="210">
        <f t="shared" si="6"/>
        <v>2000</v>
      </c>
      <c r="I122" s="86"/>
      <c r="J122" s="219">
        <f t="shared" si="4"/>
        <v>2000</v>
      </c>
    </row>
    <row r="123" spans="1:10" ht="36" customHeight="1">
      <c r="A123" s="98" t="s">
        <v>496</v>
      </c>
      <c r="B123" s="194" t="s">
        <v>823</v>
      </c>
      <c r="C123" s="102"/>
      <c r="D123" s="102"/>
      <c r="E123" s="102"/>
      <c r="F123" s="95">
        <v>18531</v>
      </c>
      <c r="G123" s="95"/>
      <c r="H123" s="210">
        <f t="shared" si="6"/>
        <v>18531</v>
      </c>
      <c r="I123" s="86"/>
      <c r="J123" s="219">
        <f t="shared" si="4"/>
        <v>18531</v>
      </c>
    </row>
    <row r="124" spans="1:10" s="88" customFormat="1" ht="21.75" customHeight="1">
      <c r="A124" s="98" t="s">
        <v>497</v>
      </c>
      <c r="B124" s="193" t="s">
        <v>498</v>
      </c>
      <c r="C124" s="102"/>
      <c r="D124" s="102"/>
      <c r="E124" s="102"/>
      <c r="F124" s="102">
        <v>245193</v>
      </c>
      <c r="G124" s="102"/>
      <c r="H124" s="210">
        <f t="shared" si="6"/>
        <v>245193</v>
      </c>
      <c r="I124" s="86"/>
      <c r="J124" s="219">
        <f t="shared" si="4"/>
        <v>245193</v>
      </c>
    </row>
    <row r="125" spans="1:10" ht="69.75" customHeight="1">
      <c r="A125" s="99" t="s">
        <v>499</v>
      </c>
      <c r="B125" s="100" t="s">
        <v>500</v>
      </c>
      <c r="C125" s="101"/>
      <c r="D125" s="101"/>
      <c r="E125" s="101"/>
      <c r="F125" s="101">
        <f>SUM(F126:F134)</f>
        <v>77457</v>
      </c>
      <c r="G125" s="101"/>
      <c r="H125" s="209">
        <f t="shared" si="6"/>
        <v>77457</v>
      </c>
      <c r="I125" s="85"/>
      <c r="J125" s="213">
        <f t="shared" si="4"/>
        <v>77457</v>
      </c>
    </row>
    <row r="126" spans="1:10" ht="15" customHeight="1">
      <c r="A126" s="98" t="s">
        <v>501</v>
      </c>
      <c r="B126" s="193" t="s">
        <v>502</v>
      </c>
      <c r="C126" s="101"/>
      <c r="D126" s="101"/>
      <c r="E126" s="102"/>
      <c r="F126" s="102">
        <v>20000</v>
      </c>
      <c r="G126" s="102"/>
      <c r="H126" s="210">
        <f t="shared" si="6"/>
        <v>20000</v>
      </c>
      <c r="I126" s="86"/>
      <c r="J126" s="219">
        <f t="shared" si="4"/>
        <v>20000</v>
      </c>
    </row>
    <row r="127" spans="1:10" ht="18" customHeight="1">
      <c r="A127" s="98" t="s">
        <v>503</v>
      </c>
      <c r="B127" s="117" t="s">
        <v>61</v>
      </c>
      <c r="C127" s="101"/>
      <c r="D127" s="101"/>
      <c r="E127" s="102"/>
      <c r="F127" s="102">
        <v>9232</v>
      </c>
      <c r="G127" s="102"/>
      <c r="H127" s="210">
        <f t="shared" si="6"/>
        <v>9232</v>
      </c>
      <c r="I127" s="86"/>
      <c r="J127" s="219">
        <f t="shared" si="4"/>
        <v>9232</v>
      </c>
    </row>
    <row r="128" spans="1:10" ht="30" customHeight="1">
      <c r="A128" s="98"/>
      <c r="B128" s="193" t="s">
        <v>240</v>
      </c>
      <c r="C128" s="101"/>
      <c r="D128" s="101"/>
      <c r="E128" s="102"/>
      <c r="F128" s="102">
        <v>23000</v>
      </c>
      <c r="G128" s="102"/>
      <c r="H128" s="210">
        <f t="shared" si="6"/>
        <v>23000</v>
      </c>
      <c r="I128" s="86"/>
      <c r="J128" s="219">
        <f t="shared" si="4"/>
        <v>23000</v>
      </c>
    </row>
    <row r="129" spans="1:10" ht="32.25" customHeight="1">
      <c r="A129" s="98"/>
      <c r="B129" s="193" t="s">
        <v>241</v>
      </c>
      <c r="C129" s="101"/>
      <c r="D129" s="101"/>
      <c r="E129" s="102"/>
      <c r="F129" s="102"/>
      <c r="G129" s="102"/>
      <c r="H129" s="210">
        <f t="shared" si="6"/>
        <v>0</v>
      </c>
      <c r="I129" s="86"/>
      <c r="J129" s="219">
        <f t="shared" si="4"/>
        <v>0</v>
      </c>
    </row>
    <row r="130" spans="1:10" ht="40.5" customHeight="1">
      <c r="A130" s="98"/>
      <c r="B130" s="117" t="s">
        <v>777</v>
      </c>
      <c r="C130" s="101"/>
      <c r="D130" s="101"/>
      <c r="E130" s="102"/>
      <c r="F130" s="102">
        <v>6386</v>
      </c>
      <c r="G130" s="102"/>
      <c r="H130" s="210">
        <f t="shared" si="6"/>
        <v>6386</v>
      </c>
      <c r="I130" s="86"/>
      <c r="J130" s="219">
        <f t="shared" si="4"/>
        <v>6386</v>
      </c>
    </row>
    <row r="131" spans="1:10" ht="49.5" customHeight="1">
      <c r="A131" s="98"/>
      <c r="B131" s="117" t="s">
        <v>773</v>
      </c>
      <c r="C131" s="101"/>
      <c r="D131" s="101"/>
      <c r="E131" s="102"/>
      <c r="F131" s="102">
        <v>1000</v>
      </c>
      <c r="G131" s="102"/>
      <c r="H131" s="210">
        <f t="shared" si="6"/>
        <v>1000</v>
      </c>
      <c r="I131" s="86"/>
      <c r="J131" s="219">
        <f t="shared" si="4"/>
        <v>1000</v>
      </c>
    </row>
    <row r="132" spans="1:10" ht="38.25" customHeight="1">
      <c r="A132" s="98"/>
      <c r="B132" s="97" t="s">
        <v>754</v>
      </c>
      <c r="C132" s="101"/>
      <c r="D132" s="101"/>
      <c r="E132" s="102"/>
      <c r="F132" s="102">
        <v>8000</v>
      </c>
      <c r="G132" s="102"/>
      <c r="H132" s="210">
        <f t="shared" si="6"/>
        <v>8000</v>
      </c>
      <c r="I132" s="86"/>
      <c r="J132" s="219">
        <f t="shared" si="4"/>
        <v>8000</v>
      </c>
    </row>
    <row r="133" spans="1:10" ht="36" customHeight="1">
      <c r="A133" s="98"/>
      <c r="B133" s="97" t="s">
        <v>752</v>
      </c>
      <c r="C133" s="101"/>
      <c r="D133" s="101"/>
      <c r="E133" s="102"/>
      <c r="F133" s="102">
        <v>7079</v>
      </c>
      <c r="G133" s="102"/>
      <c r="H133" s="210">
        <f t="shared" si="6"/>
        <v>7079</v>
      </c>
      <c r="I133" s="86"/>
      <c r="J133" s="219">
        <f t="shared" si="4"/>
        <v>7079</v>
      </c>
    </row>
    <row r="134" spans="1:10" ht="33.75" customHeight="1">
      <c r="A134" s="98" t="s">
        <v>504</v>
      </c>
      <c r="B134" s="193" t="s">
        <v>505</v>
      </c>
      <c r="C134" s="101"/>
      <c r="D134" s="101"/>
      <c r="E134" s="102"/>
      <c r="F134" s="102">
        <v>2760</v>
      </c>
      <c r="G134" s="102"/>
      <c r="H134" s="210">
        <f t="shared" si="6"/>
        <v>2760</v>
      </c>
      <c r="I134" s="215"/>
      <c r="J134" s="219">
        <f t="shared" si="4"/>
        <v>2760</v>
      </c>
    </row>
    <row r="135" spans="1:10" s="88" customFormat="1" ht="33.75" customHeight="1">
      <c r="A135" s="99" t="s">
        <v>506</v>
      </c>
      <c r="B135" s="100" t="s">
        <v>507</v>
      </c>
      <c r="C135" s="101"/>
      <c r="D135" s="101"/>
      <c r="E135" s="101"/>
      <c r="F135" s="101">
        <v>6066083</v>
      </c>
      <c r="G135" s="101"/>
      <c r="H135" s="209">
        <f t="shared" si="6"/>
        <v>6066083</v>
      </c>
      <c r="I135" s="85"/>
      <c r="J135" s="213">
        <f t="shared" si="4"/>
        <v>6066083</v>
      </c>
    </row>
    <row r="136" spans="1:10" s="88" customFormat="1" ht="35.25" customHeight="1">
      <c r="A136" s="99" t="s">
        <v>747</v>
      </c>
      <c r="B136" s="195" t="s">
        <v>748</v>
      </c>
      <c r="C136" s="101"/>
      <c r="D136" s="101"/>
      <c r="E136" s="101"/>
      <c r="F136" s="101">
        <v>366546</v>
      </c>
      <c r="G136" s="101"/>
      <c r="H136" s="209">
        <f t="shared" si="6"/>
        <v>366546</v>
      </c>
      <c r="I136" s="216"/>
      <c r="J136" s="213">
        <f t="shared" si="4"/>
        <v>366546</v>
      </c>
    </row>
    <row r="137" spans="1:10" ht="30.75" customHeight="1">
      <c r="A137" s="99" t="s">
        <v>698</v>
      </c>
      <c r="B137" s="100" t="s">
        <v>697</v>
      </c>
      <c r="C137" s="101"/>
      <c r="D137" s="101"/>
      <c r="E137" s="101">
        <f>E138</f>
        <v>115000</v>
      </c>
      <c r="F137" s="101"/>
      <c r="G137" s="101"/>
      <c r="H137" s="209">
        <f>C137+E137+F137</f>
        <v>115000</v>
      </c>
      <c r="I137" s="216"/>
      <c r="J137" s="213">
        <f t="shared" si="4"/>
        <v>115000</v>
      </c>
    </row>
    <row r="138" spans="1:10" ht="15" customHeight="1">
      <c r="A138" s="98" t="s">
        <v>699</v>
      </c>
      <c r="B138" s="97" t="s">
        <v>700</v>
      </c>
      <c r="C138" s="102"/>
      <c r="D138" s="102"/>
      <c r="E138" s="102">
        <v>115000</v>
      </c>
      <c r="F138" s="102"/>
      <c r="G138" s="102"/>
      <c r="H138" s="210">
        <f>C138+E138+F138</f>
        <v>115000</v>
      </c>
      <c r="I138" s="119"/>
      <c r="J138" s="219">
        <f t="shared" si="4"/>
        <v>115000</v>
      </c>
    </row>
    <row r="139" spans="1:10" ht="30" customHeight="1">
      <c r="A139" s="167" t="s">
        <v>825</v>
      </c>
      <c r="B139" s="99" t="s">
        <v>509</v>
      </c>
      <c r="C139" s="101"/>
      <c r="D139" s="101"/>
      <c r="E139" s="101">
        <f>E142+E427+E140</f>
        <v>5199810</v>
      </c>
      <c r="F139" s="102"/>
      <c r="G139" s="102"/>
      <c r="H139" s="209">
        <f>E139</f>
        <v>5199810</v>
      </c>
      <c r="I139" s="119"/>
      <c r="J139" s="213">
        <f t="shared" si="4"/>
        <v>5199810</v>
      </c>
    </row>
    <row r="140" spans="1:10" ht="30" customHeight="1">
      <c r="A140" s="167" t="s">
        <v>826</v>
      </c>
      <c r="B140" s="99" t="s">
        <v>827</v>
      </c>
      <c r="C140" s="101"/>
      <c r="D140" s="101"/>
      <c r="E140" s="101">
        <f>E141</f>
        <v>169672</v>
      </c>
      <c r="F140" s="102"/>
      <c r="G140" s="102"/>
      <c r="H140" s="209">
        <f>H141</f>
        <v>169672</v>
      </c>
      <c r="I140" s="119"/>
      <c r="J140" s="213">
        <f t="shared" si="4"/>
        <v>169672</v>
      </c>
    </row>
    <row r="141" spans="1:10" ht="81" customHeight="1">
      <c r="A141" s="167" t="s">
        <v>828</v>
      </c>
      <c r="B141" s="100" t="s">
        <v>829</v>
      </c>
      <c r="C141" s="101"/>
      <c r="D141" s="101"/>
      <c r="E141" s="101">
        <v>169672</v>
      </c>
      <c r="F141" s="102"/>
      <c r="G141" s="102"/>
      <c r="H141" s="209">
        <f t="shared" si="7" ref="H141:H169">E141</f>
        <v>169672</v>
      </c>
      <c r="I141" s="119"/>
      <c r="J141" s="213">
        <f t="shared" si="4"/>
        <v>169672</v>
      </c>
    </row>
    <row r="142" spans="1:10" s="88" customFormat="1" ht="31.5" customHeight="1">
      <c r="A142" s="99" t="s">
        <v>510</v>
      </c>
      <c r="B142" s="100" t="s">
        <v>511</v>
      </c>
      <c r="C142" s="101"/>
      <c r="D142" s="101"/>
      <c r="E142" s="101">
        <f>E143+E164+E167+E243</f>
        <v>4955138</v>
      </c>
      <c r="F142" s="102"/>
      <c r="G142" s="102"/>
      <c r="H142" s="209">
        <f t="shared" si="7"/>
        <v>4955138</v>
      </c>
      <c r="I142" s="119"/>
      <c r="J142" s="213">
        <f t="shared" si="8" ref="J142:J205">H142+I142</f>
        <v>4955138</v>
      </c>
    </row>
    <row r="143" spans="1:10" s="88" customFormat="1" ht="15" customHeight="1">
      <c r="A143" s="99" t="s">
        <v>512</v>
      </c>
      <c r="B143" s="99" t="s">
        <v>513</v>
      </c>
      <c r="C143" s="101"/>
      <c r="D143" s="101"/>
      <c r="E143" s="101">
        <f>E144+E149</f>
        <v>134214</v>
      </c>
      <c r="F143" s="101"/>
      <c r="G143" s="101"/>
      <c r="H143" s="209">
        <f t="shared" si="7"/>
        <v>134214</v>
      </c>
      <c r="I143" s="216"/>
      <c r="J143" s="213">
        <f t="shared" si="8"/>
        <v>134214</v>
      </c>
    </row>
    <row r="144" spans="1:10" ht="15" customHeight="1">
      <c r="A144" s="99" t="s">
        <v>514</v>
      </c>
      <c r="B144" s="99" t="s">
        <v>515</v>
      </c>
      <c r="C144" s="101"/>
      <c r="D144" s="101"/>
      <c r="E144" s="101">
        <f>SUM(E145:E148)</f>
        <v>23104</v>
      </c>
      <c r="F144" s="101"/>
      <c r="G144" s="101"/>
      <c r="H144" s="209">
        <f t="shared" si="7"/>
        <v>23104</v>
      </c>
      <c r="I144" s="85"/>
      <c r="J144" s="213">
        <f t="shared" si="8"/>
        <v>23104</v>
      </c>
    </row>
    <row r="145" spans="1:10" ht="15" customHeight="1">
      <c r="A145" s="98"/>
      <c r="B145" s="119" t="s">
        <v>516</v>
      </c>
      <c r="C145" s="102"/>
      <c r="D145" s="102"/>
      <c r="E145" s="102">
        <v>8020</v>
      </c>
      <c r="F145" s="102"/>
      <c r="G145" s="102"/>
      <c r="H145" s="210">
        <f t="shared" si="7"/>
        <v>8020</v>
      </c>
      <c r="I145" s="86"/>
      <c r="J145" s="219">
        <f t="shared" si="8"/>
        <v>8020</v>
      </c>
    </row>
    <row r="146" spans="1:10" ht="15" customHeight="1">
      <c r="A146" s="98"/>
      <c r="B146" s="119" t="s">
        <v>517</v>
      </c>
      <c r="C146" s="102"/>
      <c r="D146" s="102"/>
      <c r="E146" s="102">
        <v>9234</v>
      </c>
      <c r="F146" s="102"/>
      <c r="G146" s="102"/>
      <c r="H146" s="210">
        <f t="shared" si="7"/>
        <v>9234</v>
      </c>
      <c r="I146" s="86"/>
      <c r="J146" s="219">
        <f t="shared" si="8"/>
        <v>9234</v>
      </c>
    </row>
    <row r="147" spans="1:10" ht="15" customHeight="1">
      <c r="A147" s="98"/>
      <c r="B147" s="119" t="s">
        <v>518</v>
      </c>
      <c r="C147" s="102"/>
      <c r="D147" s="102"/>
      <c r="E147" s="102">
        <v>1750</v>
      </c>
      <c r="F147" s="102"/>
      <c r="G147" s="102"/>
      <c r="H147" s="210">
        <f t="shared" si="7"/>
        <v>1750</v>
      </c>
      <c r="I147" s="86"/>
      <c r="J147" s="219">
        <f t="shared" si="8"/>
        <v>1750</v>
      </c>
    </row>
    <row r="148" spans="1:10" ht="15" customHeight="1">
      <c r="A148" s="98"/>
      <c r="B148" s="119" t="s">
        <v>537</v>
      </c>
      <c r="C148" s="102"/>
      <c r="D148" s="102"/>
      <c r="E148" s="102">
        <v>4100</v>
      </c>
      <c r="F148" s="102"/>
      <c r="G148" s="102"/>
      <c r="H148" s="210">
        <f t="shared" si="7"/>
        <v>4100</v>
      </c>
      <c r="I148" s="86"/>
      <c r="J148" s="219">
        <f t="shared" si="8"/>
        <v>4100</v>
      </c>
    </row>
    <row r="149" spans="1:10" ht="15" customHeight="1">
      <c r="A149" s="99" t="s">
        <v>519</v>
      </c>
      <c r="B149" s="99" t="s">
        <v>520</v>
      </c>
      <c r="C149" s="101"/>
      <c r="D149" s="101"/>
      <c r="E149" s="101">
        <f>SUM(E150:E163)</f>
        <v>111110</v>
      </c>
      <c r="F149" s="101"/>
      <c r="G149" s="101"/>
      <c r="H149" s="209">
        <f t="shared" si="7"/>
        <v>111110</v>
      </c>
      <c r="I149" s="85"/>
      <c r="J149" s="213">
        <f t="shared" si="8"/>
        <v>111110</v>
      </c>
    </row>
    <row r="150" spans="1:10" ht="15" customHeight="1">
      <c r="A150" s="98"/>
      <c r="B150" s="119" t="s">
        <v>43</v>
      </c>
      <c r="C150" s="102"/>
      <c r="D150" s="102"/>
      <c r="E150" s="102">
        <v>39000</v>
      </c>
      <c r="F150" s="102"/>
      <c r="G150" s="102"/>
      <c r="H150" s="210">
        <f t="shared" si="7"/>
        <v>39000</v>
      </c>
      <c r="I150" s="86"/>
      <c r="J150" s="219">
        <f t="shared" si="8"/>
        <v>39000</v>
      </c>
    </row>
    <row r="151" spans="1:10" ht="15" customHeight="1">
      <c r="A151" s="98"/>
      <c r="B151" s="119" t="s">
        <v>44</v>
      </c>
      <c r="C151" s="102"/>
      <c r="D151" s="102"/>
      <c r="E151" s="102">
        <v>22000</v>
      </c>
      <c r="F151" s="102"/>
      <c r="G151" s="102"/>
      <c r="H151" s="210">
        <f t="shared" si="7"/>
        <v>22000</v>
      </c>
      <c r="I151" s="86"/>
      <c r="J151" s="219">
        <f t="shared" si="8"/>
        <v>22000</v>
      </c>
    </row>
    <row r="152" spans="1:10" ht="15" customHeight="1">
      <c r="A152" s="98"/>
      <c r="B152" s="119" t="s">
        <v>694</v>
      </c>
      <c r="C152" s="102"/>
      <c r="D152" s="102"/>
      <c r="E152" s="102">
        <v>12551</v>
      </c>
      <c r="F152" s="102"/>
      <c r="G152" s="102"/>
      <c r="H152" s="210">
        <f t="shared" si="7"/>
        <v>12551</v>
      </c>
      <c r="I152" s="86"/>
      <c r="J152" s="219">
        <f t="shared" si="8"/>
        <v>12551</v>
      </c>
    </row>
    <row r="153" spans="1:10" ht="15" customHeight="1">
      <c r="A153" s="98"/>
      <c r="B153" s="119" t="s">
        <v>45</v>
      </c>
      <c r="C153" s="102"/>
      <c r="D153" s="102"/>
      <c r="E153" s="102">
        <v>2500</v>
      </c>
      <c r="F153" s="102"/>
      <c r="G153" s="102"/>
      <c r="H153" s="210">
        <f t="shared" si="7"/>
        <v>2500</v>
      </c>
      <c r="I153" s="86"/>
      <c r="J153" s="219">
        <f t="shared" si="8"/>
        <v>2500</v>
      </c>
    </row>
    <row r="154" spans="1:10" ht="15" customHeight="1">
      <c r="A154" s="98"/>
      <c r="B154" s="119" t="s">
        <v>523</v>
      </c>
      <c r="C154" s="102"/>
      <c r="D154" s="102"/>
      <c r="E154" s="102">
        <v>2500</v>
      </c>
      <c r="F154" s="102"/>
      <c r="G154" s="102"/>
      <c r="H154" s="210">
        <f t="shared" si="7"/>
        <v>2500</v>
      </c>
      <c r="I154" s="86"/>
      <c r="J154" s="219">
        <f t="shared" si="8"/>
        <v>2500</v>
      </c>
    </row>
    <row r="155" spans="1:10" ht="15" customHeight="1">
      <c r="A155" s="98"/>
      <c r="B155" s="119" t="s">
        <v>733</v>
      </c>
      <c r="C155" s="102"/>
      <c r="D155" s="102"/>
      <c r="E155" s="102">
        <v>6100</v>
      </c>
      <c r="F155" s="102"/>
      <c r="G155" s="102"/>
      <c r="H155" s="210">
        <f t="shared" si="7"/>
        <v>6100</v>
      </c>
      <c r="I155" s="86"/>
      <c r="J155" s="219">
        <f t="shared" si="8"/>
        <v>6100</v>
      </c>
    </row>
    <row r="156" spans="1:10" ht="15" customHeight="1">
      <c r="A156" s="98"/>
      <c r="B156" s="119" t="s">
        <v>734</v>
      </c>
      <c r="C156" s="102"/>
      <c r="D156" s="102"/>
      <c r="E156" s="102">
        <v>2819</v>
      </c>
      <c r="F156" s="102"/>
      <c r="G156" s="102"/>
      <c r="H156" s="210">
        <f t="shared" si="7"/>
        <v>2819</v>
      </c>
      <c r="I156" s="86"/>
      <c r="J156" s="219">
        <f t="shared" si="8"/>
        <v>2819</v>
      </c>
    </row>
    <row r="157" spans="1:10" ht="15" customHeight="1">
      <c r="A157" s="98"/>
      <c r="B157" s="119" t="s">
        <v>522</v>
      </c>
      <c r="C157" s="102"/>
      <c r="D157" s="102"/>
      <c r="E157" s="102">
        <v>7000</v>
      </c>
      <c r="F157" s="102"/>
      <c r="G157" s="102"/>
      <c r="H157" s="210">
        <f t="shared" si="7"/>
        <v>7000</v>
      </c>
      <c r="I157" s="86"/>
      <c r="J157" s="219">
        <f t="shared" si="8"/>
        <v>7000</v>
      </c>
    </row>
    <row r="158" spans="1:10" ht="15" customHeight="1">
      <c r="A158" s="98"/>
      <c r="B158" s="119" t="s">
        <v>521</v>
      </c>
      <c r="C158" s="102"/>
      <c r="D158" s="102"/>
      <c r="E158" s="102">
        <v>3850</v>
      </c>
      <c r="F158" s="102"/>
      <c r="G158" s="102"/>
      <c r="H158" s="210">
        <f t="shared" si="7"/>
        <v>3850</v>
      </c>
      <c r="I158" s="86"/>
      <c r="J158" s="219">
        <f t="shared" si="8"/>
        <v>3850</v>
      </c>
    </row>
    <row r="159" spans="1:10" ht="15" customHeight="1">
      <c r="A159" s="98"/>
      <c r="B159" s="119" t="s">
        <v>709</v>
      </c>
      <c r="C159" s="102"/>
      <c r="D159" s="102"/>
      <c r="E159" s="102">
        <v>4100</v>
      </c>
      <c r="F159" s="102"/>
      <c r="G159" s="102"/>
      <c r="H159" s="210">
        <f t="shared" si="7"/>
        <v>4100</v>
      </c>
      <c r="I159" s="86"/>
      <c r="J159" s="219">
        <f t="shared" si="8"/>
        <v>4100</v>
      </c>
    </row>
    <row r="160" spans="1:10" ht="15" customHeight="1">
      <c r="A160" s="98"/>
      <c r="B160" s="119" t="s">
        <v>755</v>
      </c>
      <c r="C160" s="102"/>
      <c r="D160" s="102"/>
      <c r="E160" s="102">
        <v>1000</v>
      </c>
      <c r="F160" s="102"/>
      <c r="G160" s="102"/>
      <c r="H160" s="210">
        <f t="shared" si="7"/>
        <v>1000</v>
      </c>
      <c r="I160" s="217"/>
      <c r="J160" s="219">
        <f t="shared" si="8"/>
        <v>1000</v>
      </c>
    </row>
    <row r="161" spans="1:10" ht="15" customHeight="1">
      <c r="A161" s="98"/>
      <c r="B161" s="119" t="s">
        <v>756</v>
      </c>
      <c r="C161" s="102"/>
      <c r="D161" s="102"/>
      <c r="E161" s="102">
        <v>4880</v>
      </c>
      <c r="F161" s="102"/>
      <c r="G161" s="102"/>
      <c r="H161" s="210">
        <f t="shared" si="7"/>
        <v>4880</v>
      </c>
      <c r="I161" s="217"/>
      <c r="J161" s="219">
        <f t="shared" si="8"/>
        <v>4880</v>
      </c>
    </row>
    <row r="162" spans="1:10" ht="15" customHeight="1">
      <c r="A162" s="98"/>
      <c r="B162" s="119" t="s">
        <v>763</v>
      </c>
      <c r="C162" s="102"/>
      <c r="D162" s="102"/>
      <c r="E162" s="102">
        <v>1660</v>
      </c>
      <c r="F162" s="102"/>
      <c r="G162" s="102"/>
      <c r="H162" s="210">
        <f t="shared" si="7"/>
        <v>1660</v>
      </c>
      <c r="I162" s="217"/>
      <c r="J162" s="219">
        <f t="shared" si="8"/>
        <v>1660</v>
      </c>
    </row>
    <row r="163" spans="1:10" s="88" customFormat="1" ht="15" customHeight="1">
      <c r="A163" s="98"/>
      <c r="B163" s="119" t="s">
        <v>710</v>
      </c>
      <c r="C163" s="102"/>
      <c r="D163" s="102"/>
      <c r="E163" s="102">
        <v>1150</v>
      </c>
      <c r="F163" s="102"/>
      <c r="G163" s="102"/>
      <c r="H163" s="210">
        <f t="shared" si="7"/>
        <v>1150</v>
      </c>
      <c r="I163" s="86"/>
      <c r="J163" s="213">
        <f t="shared" si="8"/>
        <v>1150</v>
      </c>
    </row>
    <row r="164" spans="1:10" s="88" customFormat="1" ht="30" customHeight="1">
      <c r="A164" s="99" t="s">
        <v>524</v>
      </c>
      <c r="B164" s="100" t="s">
        <v>525</v>
      </c>
      <c r="C164" s="101"/>
      <c r="D164" s="101"/>
      <c r="E164" s="101">
        <f>E165</f>
        <v>1340</v>
      </c>
      <c r="F164" s="101"/>
      <c r="G164" s="101"/>
      <c r="H164" s="209">
        <f t="shared" si="7"/>
        <v>1340</v>
      </c>
      <c r="I164" s="85"/>
      <c r="J164" s="213">
        <f t="shared" si="8"/>
        <v>1340</v>
      </c>
    </row>
    <row r="165" spans="1:10" ht="31.5" customHeight="1">
      <c r="A165" s="99" t="s">
        <v>526</v>
      </c>
      <c r="B165" s="100" t="s">
        <v>527</v>
      </c>
      <c r="C165" s="101"/>
      <c r="D165" s="101"/>
      <c r="E165" s="101">
        <f>SUM(E166:E166)</f>
        <v>1340</v>
      </c>
      <c r="F165" s="101"/>
      <c r="G165" s="101"/>
      <c r="H165" s="209">
        <f t="shared" si="7"/>
        <v>1340</v>
      </c>
      <c r="I165" s="85"/>
      <c r="J165" s="213">
        <f t="shared" si="8"/>
        <v>1340</v>
      </c>
    </row>
    <row r="166" spans="1:10" s="88" customFormat="1" ht="15" customHeight="1">
      <c r="A166" s="98"/>
      <c r="B166" s="117" t="s">
        <v>15</v>
      </c>
      <c r="C166" s="102"/>
      <c r="D166" s="102"/>
      <c r="E166" s="102">
        <v>1340</v>
      </c>
      <c r="F166" s="102"/>
      <c r="G166" s="102"/>
      <c r="H166" s="210">
        <f t="shared" si="7"/>
        <v>1340</v>
      </c>
      <c r="I166" s="86"/>
      <c r="J166" s="219">
        <f t="shared" si="8"/>
        <v>1340</v>
      </c>
    </row>
    <row r="167" spans="1:10" s="88" customFormat="1" ht="25.5" customHeight="1">
      <c r="A167" s="99" t="s">
        <v>528</v>
      </c>
      <c r="B167" s="99" t="s">
        <v>529</v>
      </c>
      <c r="C167" s="101"/>
      <c r="D167" s="101"/>
      <c r="E167" s="101">
        <f>E168+E215+E221+E222</f>
        <v>582781</v>
      </c>
      <c r="F167" s="101"/>
      <c r="G167" s="101"/>
      <c r="H167" s="209">
        <f t="shared" si="7"/>
        <v>582781</v>
      </c>
      <c r="I167" s="85"/>
      <c r="J167" s="213">
        <f t="shared" si="8"/>
        <v>582781</v>
      </c>
    </row>
    <row r="168" spans="1:10" ht="28.5" customHeight="1">
      <c r="A168" s="99" t="s">
        <v>530</v>
      </c>
      <c r="B168" s="100" t="s">
        <v>696</v>
      </c>
      <c r="C168" s="101"/>
      <c r="D168" s="101"/>
      <c r="E168" s="101">
        <f>SUM(E169:E214)</f>
        <v>170238</v>
      </c>
      <c r="F168" s="101"/>
      <c r="G168" s="101"/>
      <c r="H168" s="209">
        <f t="shared" si="7"/>
        <v>170238</v>
      </c>
      <c r="I168" s="85"/>
      <c r="J168" s="213">
        <f t="shared" si="8"/>
        <v>170238</v>
      </c>
    </row>
    <row r="169" spans="1:10" ht="15" customHeight="1">
      <c r="A169" s="98"/>
      <c r="B169" s="98" t="s">
        <v>531</v>
      </c>
      <c r="C169" s="102"/>
      <c r="D169" s="102"/>
      <c r="E169" s="102">
        <f>91840+6124</f>
        <v>97964</v>
      </c>
      <c r="F169" s="102"/>
      <c r="G169" s="102"/>
      <c r="H169" s="210">
        <f t="shared" si="7"/>
        <v>97964</v>
      </c>
      <c r="I169" s="86"/>
      <c r="J169" s="219">
        <f t="shared" si="8"/>
        <v>97964</v>
      </c>
    </row>
    <row r="170" spans="1:10" ht="15" customHeight="1">
      <c r="A170" s="98"/>
      <c r="B170" s="98" t="s">
        <v>834</v>
      </c>
      <c r="C170" s="102"/>
      <c r="D170" s="102"/>
      <c r="E170" s="102">
        <v>3179</v>
      </c>
      <c r="F170" s="102"/>
      <c r="G170" s="102"/>
      <c r="H170" s="210"/>
      <c r="I170" s="86"/>
      <c r="J170" s="219">
        <f t="shared" si="8"/>
        <v>0</v>
      </c>
    </row>
    <row r="171" spans="1:10" ht="15" customHeight="1">
      <c r="A171" s="98"/>
      <c r="B171" s="119" t="s">
        <v>780</v>
      </c>
      <c r="C171" s="102"/>
      <c r="D171" s="102"/>
      <c r="E171" s="102">
        <v>305</v>
      </c>
      <c r="F171" s="102"/>
      <c r="G171" s="102"/>
      <c r="H171" s="210">
        <f t="shared" si="9" ref="H171:H202">E171</f>
        <v>305</v>
      </c>
      <c r="I171" s="86"/>
      <c r="J171" s="219">
        <f t="shared" si="8"/>
        <v>305</v>
      </c>
    </row>
    <row r="172" spans="1:10" ht="15" customHeight="1">
      <c r="A172" s="98"/>
      <c r="B172" s="119" t="s">
        <v>5</v>
      </c>
      <c r="C172" s="102"/>
      <c r="D172" s="102"/>
      <c r="E172" s="102">
        <v>430</v>
      </c>
      <c r="F172" s="102"/>
      <c r="G172" s="102"/>
      <c r="H172" s="210">
        <f t="shared" si="9"/>
        <v>430</v>
      </c>
      <c r="I172" s="86"/>
      <c r="J172" s="219">
        <f t="shared" si="8"/>
        <v>430</v>
      </c>
    </row>
    <row r="173" spans="1:10" ht="21.75" customHeight="1">
      <c r="A173" s="98"/>
      <c r="B173" s="120" t="s">
        <v>93</v>
      </c>
      <c r="C173" s="102"/>
      <c r="D173" s="102"/>
      <c r="E173" s="95">
        <v>430</v>
      </c>
      <c r="F173" s="102"/>
      <c r="G173" s="102"/>
      <c r="H173" s="210">
        <f t="shared" si="9"/>
        <v>430</v>
      </c>
      <c r="I173" s="86"/>
      <c r="J173" s="219">
        <f t="shared" si="8"/>
        <v>430</v>
      </c>
    </row>
    <row r="174" spans="1:10" ht="20.25" customHeight="1">
      <c r="A174" s="98"/>
      <c r="B174" s="119" t="s">
        <v>20</v>
      </c>
      <c r="C174" s="102"/>
      <c r="D174" s="102"/>
      <c r="E174" s="95">
        <v>510</v>
      </c>
      <c r="F174" s="102"/>
      <c r="G174" s="102"/>
      <c r="H174" s="210">
        <f t="shared" si="9"/>
        <v>510</v>
      </c>
      <c r="I174" s="86"/>
      <c r="J174" s="219">
        <f t="shared" si="8"/>
        <v>510</v>
      </c>
    </row>
    <row r="175" spans="1:10" ht="20.25" customHeight="1">
      <c r="A175" s="98"/>
      <c r="B175" s="117" t="s">
        <v>23</v>
      </c>
      <c r="C175" s="102"/>
      <c r="D175" s="102"/>
      <c r="E175" s="102">
        <v>300</v>
      </c>
      <c r="F175" s="102"/>
      <c r="G175" s="102"/>
      <c r="H175" s="210">
        <f t="shared" si="9"/>
        <v>300</v>
      </c>
      <c r="I175" s="86"/>
      <c r="J175" s="219">
        <f t="shared" si="8"/>
        <v>300</v>
      </c>
    </row>
    <row r="176" spans="1:10" ht="21.75" customHeight="1">
      <c r="A176" s="98"/>
      <c r="B176" s="117" t="s">
        <v>335</v>
      </c>
      <c r="C176" s="102"/>
      <c r="D176" s="102"/>
      <c r="E176" s="102">
        <v>2000</v>
      </c>
      <c r="F176" s="102"/>
      <c r="G176" s="102"/>
      <c r="H176" s="210">
        <f t="shared" si="9"/>
        <v>2000</v>
      </c>
      <c r="I176" s="86"/>
      <c r="J176" s="219">
        <f t="shared" si="8"/>
        <v>2000</v>
      </c>
    </row>
    <row r="177" spans="1:10" ht="21" customHeight="1">
      <c r="A177" s="98"/>
      <c r="B177" s="117" t="s">
        <v>150</v>
      </c>
      <c r="C177" s="102"/>
      <c r="D177" s="102"/>
      <c r="E177" s="102">
        <v>516</v>
      </c>
      <c r="F177" s="102"/>
      <c r="G177" s="102"/>
      <c r="H177" s="210">
        <f t="shared" si="9"/>
        <v>516</v>
      </c>
      <c r="I177" s="86"/>
      <c r="J177" s="219">
        <f t="shared" si="8"/>
        <v>516</v>
      </c>
    </row>
    <row r="178" spans="1:10" ht="21" customHeight="1">
      <c r="A178" s="98"/>
      <c r="B178" s="117" t="s">
        <v>126</v>
      </c>
      <c r="C178" s="102"/>
      <c r="D178" s="102"/>
      <c r="E178" s="102">
        <v>700</v>
      </c>
      <c r="F178" s="102"/>
      <c r="G178" s="102"/>
      <c r="H178" s="210">
        <f t="shared" si="9"/>
        <v>700</v>
      </c>
      <c r="I178" s="86"/>
      <c r="J178" s="219">
        <f t="shared" si="8"/>
        <v>700</v>
      </c>
    </row>
    <row r="179" spans="1:10" ht="20.25" customHeight="1">
      <c r="A179" s="98"/>
      <c r="B179" s="117" t="s">
        <v>779</v>
      </c>
      <c r="C179" s="102"/>
      <c r="D179" s="102"/>
      <c r="E179" s="102">
        <v>2585</v>
      </c>
      <c r="F179" s="102"/>
      <c r="G179" s="102"/>
      <c r="H179" s="210">
        <f t="shared" si="9"/>
        <v>2585</v>
      </c>
      <c r="I179" s="86"/>
      <c r="J179" s="219">
        <f t="shared" si="8"/>
        <v>2585</v>
      </c>
    </row>
    <row r="180" spans="1:10" ht="18.75" customHeight="1">
      <c r="A180" s="98"/>
      <c r="B180" s="117" t="s">
        <v>785</v>
      </c>
      <c r="C180" s="102"/>
      <c r="D180" s="102"/>
      <c r="E180" s="102">
        <v>120</v>
      </c>
      <c r="F180" s="102"/>
      <c r="G180" s="102"/>
      <c r="H180" s="210">
        <f t="shared" si="9"/>
        <v>120</v>
      </c>
      <c r="I180" s="98"/>
      <c r="J180" s="219">
        <f t="shared" si="8"/>
        <v>120</v>
      </c>
    </row>
    <row r="181" spans="1:10" ht="15" customHeight="1">
      <c r="A181" s="98"/>
      <c r="B181" s="117" t="s">
        <v>778</v>
      </c>
      <c r="C181" s="102"/>
      <c r="D181" s="102"/>
      <c r="E181" s="102">
        <v>2178</v>
      </c>
      <c r="F181" s="102"/>
      <c r="G181" s="102"/>
      <c r="H181" s="210">
        <f t="shared" si="9"/>
        <v>2178</v>
      </c>
      <c r="I181" s="86"/>
      <c r="J181" s="219">
        <f t="shared" si="8"/>
        <v>2178</v>
      </c>
    </row>
    <row r="182" spans="1:10" ht="15" customHeight="1">
      <c r="A182" s="98"/>
      <c r="B182" s="117" t="s">
        <v>532</v>
      </c>
      <c r="C182" s="102"/>
      <c r="D182" s="102"/>
      <c r="E182" s="102">
        <v>4350</v>
      </c>
      <c r="F182" s="102"/>
      <c r="G182" s="102"/>
      <c r="H182" s="210">
        <f t="shared" si="9"/>
        <v>4350</v>
      </c>
      <c r="I182" s="86"/>
      <c r="J182" s="219">
        <f t="shared" si="8"/>
        <v>4350</v>
      </c>
    </row>
    <row r="183" spans="1:10" ht="15" customHeight="1">
      <c r="A183" s="98"/>
      <c r="B183" s="117" t="s">
        <v>82</v>
      </c>
      <c r="C183" s="102"/>
      <c r="D183" s="102"/>
      <c r="E183" s="102">
        <v>3340</v>
      </c>
      <c r="F183" s="102"/>
      <c r="G183" s="102"/>
      <c r="H183" s="210">
        <f t="shared" si="9"/>
        <v>3340</v>
      </c>
      <c r="I183" s="86"/>
      <c r="J183" s="219">
        <f t="shared" si="8"/>
        <v>3340</v>
      </c>
    </row>
    <row r="184" spans="1:10" ht="15" customHeight="1">
      <c r="A184" s="98"/>
      <c r="B184" s="117" t="s">
        <v>80</v>
      </c>
      <c r="C184" s="102"/>
      <c r="D184" s="102"/>
      <c r="E184" s="102">
        <v>7829</v>
      </c>
      <c r="F184" s="102"/>
      <c r="G184" s="102"/>
      <c r="H184" s="210">
        <f t="shared" si="9"/>
        <v>7829</v>
      </c>
      <c r="I184" s="86"/>
      <c r="J184" s="219">
        <f t="shared" si="8"/>
        <v>7829</v>
      </c>
    </row>
    <row r="185" spans="1:10" ht="15" customHeight="1">
      <c r="A185" s="98"/>
      <c r="B185" s="117" t="s">
        <v>155</v>
      </c>
      <c r="C185" s="102"/>
      <c r="D185" s="102"/>
      <c r="E185" s="102">
        <v>130</v>
      </c>
      <c r="F185" s="102"/>
      <c r="G185" s="102"/>
      <c r="H185" s="210">
        <f t="shared" si="9"/>
        <v>130</v>
      </c>
      <c r="I185" s="86"/>
      <c r="J185" s="219">
        <f t="shared" si="8"/>
        <v>130</v>
      </c>
    </row>
    <row r="186" spans="1:10" ht="15" customHeight="1">
      <c r="A186" s="98"/>
      <c r="B186" s="117" t="s">
        <v>200</v>
      </c>
      <c r="C186" s="102"/>
      <c r="D186" s="102"/>
      <c r="E186" s="102">
        <v>50</v>
      </c>
      <c r="F186" s="102"/>
      <c r="G186" s="102"/>
      <c r="H186" s="210">
        <f t="shared" si="9"/>
        <v>50</v>
      </c>
      <c r="I186" s="86"/>
      <c r="J186" s="219">
        <f t="shared" si="8"/>
        <v>50</v>
      </c>
    </row>
    <row r="187" spans="1:10" ht="15" customHeight="1">
      <c r="A187" s="98"/>
      <c r="B187" s="117" t="s">
        <v>307</v>
      </c>
      <c r="C187" s="102"/>
      <c r="D187" s="102"/>
      <c r="E187" s="102">
        <v>50</v>
      </c>
      <c r="F187" s="102"/>
      <c r="G187" s="102"/>
      <c r="H187" s="210">
        <f t="shared" si="9"/>
        <v>50</v>
      </c>
      <c r="I187" s="86"/>
      <c r="J187" s="219">
        <f t="shared" si="8"/>
        <v>50</v>
      </c>
    </row>
    <row r="188" spans="1:10" ht="15" customHeight="1">
      <c r="A188" s="98"/>
      <c r="B188" s="117" t="s">
        <v>39</v>
      </c>
      <c r="C188" s="102"/>
      <c r="D188" s="102"/>
      <c r="E188" s="102">
        <v>82</v>
      </c>
      <c r="F188" s="102"/>
      <c r="G188" s="102"/>
      <c r="H188" s="210">
        <f t="shared" si="9"/>
        <v>82</v>
      </c>
      <c r="I188" s="86"/>
      <c r="J188" s="219">
        <f t="shared" si="8"/>
        <v>82</v>
      </c>
    </row>
    <row r="189" spans="1:10" ht="15" customHeight="1">
      <c r="A189" s="98"/>
      <c r="B189" s="117" t="s">
        <v>40</v>
      </c>
      <c r="C189" s="102"/>
      <c r="D189" s="102"/>
      <c r="E189" s="102">
        <v>350</v>
      </c>
      <c r="F189" s="102"/>
      <c r="G189" s="102"/>
      <c r="H189" s="210">
        <f t="shared" si="9"/>
        <v>350</v>
      </c>
      <c r="I189" s="86"/>
      <c r="J189" s="219">
        <f t="shared" si="8"/>
        <v>350</v>
      </c>
    </row>
    <row r="190" spans="1:10" ht="15" customHeight="1">
      <c r="A190" s="98"/>
      <c r="B190" s="117" t="s">
        <v>473</v>
      </c>
      <c r="C190" s="102"/>
      <c r="D190" s="102"/>
      <c r="E190" s="102">
        <v>100</v>
      </c>
      <c r="F190" s="102"/>
      <c r="G190" s="102"/>
      <c r="H190" s="210">
        <f t="shared" si="9"/>
        <v>100</v>
      </c>
      <c r="I190" s="86"/>
      <c r="J190" s="219">
        <f t="shared" si="8"/>
        <v>100</v>
      </c>
    </row>
    <row r="191" spans="1:10" ht="15" customHeight="1">
      <c r="A191" s="98"/>
      <c r="B191" s="119" t="s">
        <v>199</v>
      </c>
      <c r="C191" s="102"/>
      <c r="D191" s="102"/>
      <c r="E191" s="102">
        <v>25</v>
      </c>
      <c r="F191" s="102"/>
      <c r="G191" s="102"/>
      <c r="H191" s="210">
        <f t="shared" si="9"/>
        <v>25</v>
      </c>
      <c r="I191" s="86"/>
      <c r="J191" s="219">
        <f t="shared" si="8"/>
        <v>25</v>
      </c>
    </row>
    <row r="192" spans="1:10" ht="15" customHeight="1">
      <c r="A192" s="98"/>
      <c r="B192" s="119" t="s">
        <v>159</v>
      </c>
      <c r="C192" s="102"/>
      <c r="D192" s="102"/>
      <c r="E192" s="102">
        <v>100</v>
      </c>
      <c r="F192" s="102"/>
      <c r="G192" s="102"/>
      <c r="H192" s="210">
        <f t="shared" si="9"/>
        <v>100</v>
      </c>
      <c r="I192" s="86"/>
      <c r="J192" s="219">
        <f t="shared" si="8"/>
        <v>100</v>
      </c>
    </row>
    <row r="193" spans="1:10" ht="15" customHeight="1">
      <c r="A193" s="98"/>
      <c r="B193" s="117" t="s">
        <v>206</v>
      </c>
      <c r="C193" s="102"/>
      <c r="D193" s="102"/>
      <c r="E193" s="102">
        <v>50</v>
      </c>
      <c r="F193" s="102"/>
      <c r="G193" s="102"/>
      <c r="H193" s="210">
        <f t="shared" si="9"/>
        <v>50</v>
      </c>
      <c r="I193" s="86"/>
      <c r="J193" s="219">
        <f t="shared" si="8"/>
        <v>50</v>
      </c>
    </row>
    <row r="194" spans="1:10" ht="15" customHeight="1">
      <c r="A194" s="98"/>
      <c r="B194" s="117" t="s">
        <v>197</v>
      </c>
      <c r="C194" s="102"/>
      <c r="D194" s="102"/>
      <c r="E194" s="102">
        <v>50</v>
      </c>
      <c r="F194" s="102"/>
      <c r="G194" s="102"/>
      <c r="H194" s="210">
        <f t="shared" si="9"/>
        <v>50</v>
      </c>
      <c r="I194" s="86"/>
      <c r="J194" s="219">
        <f t="shared" si="8"/>
        <v>50</v>
      </c>
    </row>
    <row r="195" spans="1:10" ht="15" customHeight="1">
      <c r="A195" s="98"/>
      <c r="B195" s="117" t="s">
        <v>217</v>
      </c>
      <c r="C195" s="102"/>
      <c r="D195" s="102"/>
      <c r="E195" s="102">
        <v>157</v>
      </c>
      <c r="F195" s="102"/>
      <c r="G195" s="102"/>
      <c r="H195" s="210">
        <f t="shared" si="9"/>
        <v>157</v>
      </c>
      <c r="I195" s="86"/>
      <c r="J195" s="219">
        <f t="shared" si="8"/>
        <v>157</v>
      </c>
    </row>
    <row r="196" spans="1:10" ht="15" customHeight="1">
      <c r="A196" s="98"/>
      <c r="B196" s="117" t="s">
        <v>478</v>
      </c>
      <c r="C196" s="102"/>
      <c r="D196" s="102"/>
      <c r="E196" s="102">
        <v>160</v>
      </c>
      <c r="F196" s="102"/>
      <c r="G196" s="102"/>
      <c r="H196" s="210">
        <f t="shared" si="9"/>
        <v>160</v>
      </c>
      <c r="I196" s="86"/>
      <c r="J196" s="219">
        <f t="shared" si="8"/>
        <v>160</v>
      </c>
    </row>
    <row r="197" spans="1:10" ht="15" customHeight="1">
      <c r="A197" s="98"/>
      <c r="B197" s="117" t="s">
        <v>533</v>
      </c>
      <c r="C197" s="102"/>
      <c r="D197" s="102"/>
      <c r="E197" s="102">
        <v>100</v>
      </c>
      <c r="F197" s="102"/>
      <c r="G197" s="102"/>
      <c r="H197" s="210">
        <f t="shared" si="9"/>
        <v>100</v>
      </c>
      <c r="I197" s="86"/>
      <c r="J197" s="219">
        <f t="shared" si="8"/>
        <v>100</v>
      </c>
    </row>
    <row r="198" spans="1:10" ht="15" customHeight="1">
      <c r="A198" s="98"/>
      <c r="B198" s="117" t="s">
        <v>157</v>
      </c>
      <c r="C198" s="102"/>
      <c r="D198" s="102"/>
      <c r="E198" s="102">
        <v>400</v>
      </c>
      <c r="F198" s="102"/>
      <c r="G198" s="102"/>
      <c r="H198" s="210">
        <f t="shared" si="9"/>
        <v>400</v>
      </c>
      <c r="I198" s="86"/>
      <c r="J198" s="219">
        <f t="shared" si="8"/>
        <v>400</v>
      </c>
    </row>
    <row r="199" spans="1:10" ht="15" customHeight="1">
      <c r="A199" s="98"/>
      <c r="B199" s="117" t="s">
        <v>156</v>
      </c>
      <c r="C199" s="102"/>
      <c r="D199" s="102"/>
      <c r="E199" s="102">
        <v>200</v>
      </c>
      <c r="F199" s="102"/>
      <c r="G199" s="102"/>
      <c r="H199" s="210">
        <f t="shared" si="9"/>
        <v>200</v>
      </c>
      <c r="I199" s="86"/>
      <c r="J199" s="219">
        <f t="shared" si="8"/>
        <v>200</v>
      </c>
    </row>
    <row r="200" spans="1:10" ht="15" customHeight="1">
      <c r="A200" s="98"/>
      <c r="B200" s="117" t="s">
        <v>140</v>
      </c>
      <c r="C200" s="102"/>
      <c r="D200" s="102"/>
      <c r="E200" s="102">
        <v>250</v>
      </c>
      <c r="F200" s="102"/>
      <c r="G200" s="102"/>
      <c r="H200" s="210">
        <f t="shared" si="9"/>
        <v>250</v>
      </c>
      <c r="I200" s="86"/>
      <c r="J200" s="219">
        <f t="shared" si="8"/>
        <v>250</v>
      </c>
    </row>
    <row r="201" spans="1:10" ht="18.75" customHeight="1">
      <c r="A201" s="98"/>
      <c r="B201" s="117" t="s">
        <v>160</v>
      </c>
      <c r="C201" s="102"/>
      <c r="D201" s="102"/>
      <c r="E201" s="102">
        <v>200</v>
      </c>
      <c r="F201" s="102"/>
      <c r="G201" s="102"/>
      <c r="H201" s="210">
        <f t="shared" si="9"/>
        <v>200</v>
      </c>
      <c r="I201" s="86"/>
      <c r="J201" s="219">
        <f t="shared" si="8"/>
        <v>200</v>
      </c>
    </row>
    <row r="202" spans="1:10" ht="31.5" customHeight="1">
      <c r="A202" s="98"/>
      <c r="B202" s="117" t="s">
        <v>784</v>
      </c>
      <c r="C202" s="102"/>
      <c r="D202" s="102"/>
      <c r="E202" s="102">
        <v>9000</v>
      </c>
      <c r="F202" s="102"/>
      <c r="G202" s="102"/>
      <c r="H202" s="210">
        <f t="shared" si="9"/>
        <v>9000</v>
      </c>
      <c r="I202" s="86"/>
      <c r="J202" s="219">
        <f t="shared" si="8"/>
        <v>9000</v>
      </c>
    </row>
    <row r="203" spans="1:10" ht="31.5" customHeight="1">
      <c r="A203" s="98"/>
      <c r="B203" s="117" t="s">
        <v>711</v>
      </c>
      <c r="C203" s="102"/>
      <c r="D203" s="102"/>
      <c r="E203" s="102">
        <v>2500</v>
      </c>
      <c r="F203" s="102"/>
      <c r="G203" s="102"/>
      <c r="H203" s="210">
        <f t="shared" si="10" ref="H203:H234">E203</f>
        <v>2500</v>
      </c>
      <c r="I203" s="86"/>
      <c r="J203" s="219">
        <f t="shared" si="8"/>
        <v>2500</v>
      </c>
    </row>
    <row r="204" spans="1:10" ht="15" customHeight="1">
      <c r="A204" s="98"/>
      <c r="B204" s="117" t="s">
        <v>48</v>
      </c>
      <c r="C204" s="102"/>
      <c r="D204" s="102"/>
      <c r="E204" s="102">
        <v>15072</v>
      </c>
      <c r="F204" s="102"/>
      <c r="G204" s="102"/>
      <c r="H204" s="210">
        <f t="shared" si="10"/>
        <v>15072</v>
      </c>
      <c r="I204" s="86"/>
      <c r="J204" s="219">
        <f t="shared" si="8"/>
        <v>15072</v>
      </c>
    </row>
    <row r="205" spans="1:10" ht="15" customHeight="1">
      <c r="A205" s="98"/>
      <c r="B205" s="117" t="s">
        <v>742</v>
      </c>
      <c r="C205" s="102"/>
      <c r="D205" s="102"/>
      <c r="E205" s="102">
        <v>1400</v>
      </c>
      <c r="F205" s="102"/>
      <c r="G205" s="102"/>
      <c r="H205" s="210">
        <f t="shared" si="10"/>
        <v>1400</v>
      </c>
      <c r="I205" s="86"/>
      <c r="J205" s="219">
        <f t="shared" si="8"/>
        <v>1400</v>
      </c>
    </row>
    <row r="206" spans="1:10" ht="15" customHeight="1">
      <c r="A206" s="98"/>
      <c r="B206" s="117" t="s">
        <v>787</v>
      </c>
      <c r="C206" s="102"/>
      <c r="D206" s="102"/>
      <c r="E206" s="102">
        <v>1332</v>
      </c>
      <c r="F206" s="102"/>
      <c r="G206" s="102"/>
      <c r="H206" s="210">
        <f t="shared" si="10"/>
        <v>1332</v>
      </c>
      <c r="I206" s="86"/>
      <c r="J206" s="219">
        <f t="shared" si="11" ref="J206:J269">H206+I206</f>
        <v>1332</v>
      </c>
    </row>
    <row r="207" spans="1:10" ht="15" customHeight="1">
      <c r="A207" s="98"/>
      <c r="B207" s="117" t="s">
        <v>173</v>
      </c>
      <c r="C207" s="102"/>
      <c r="D207" s="102"/>
      <c r="E207" s="95">
        <v>500</v>
      </c>
      <c r="F207" s="102"/>
      <c r="G207" s="102"/>
      <c r="H207" s="210">
        <f t="shared" si="10"/>
        <v>500</v>
      </c>
      <c r="I207" s="86"/>
      <c r="J207" s="219">
        <f t="shared" si="11"/>
        <v>500</v>
      </c>
    </row>
    <row r="208" spans="1:10" ht="15" customHeight="1">
      <c r="A208" s="98"/>
      <c r="B208" s="117" t="s">
        <v>164</v>
      </c>
      <c r="C208" s="102"/>
      <c r="D208" s="102"/>
      <c r="E208" s="102">
        <v>150</v>
      </c>
      <c r="F208" s="102"/>
      <c r="G208" s="102"/>
      <c r="H208" s="210">
        <f t="shared" si="10"/>
        <v>150</v>
      </c>
      <c r="I208" s="86"/>
      <c r="J208" s="219">
        <f t="shared" si="11"/>
        <v>150</v>
      </c>
    </row>
    <row r="209" spans="1:10" ht="15" customHeight="1">
      <c r="A209" s="98"/>
      <c r="B209" s="117" t="s">
        <v>788</v>
      </c>
      <c r="C209" s="102"/>
      <c r="D209" s="102"/>
      <c r="E209" s="102">
        <v>2201</v>
      </c>
      <c r="F209" s="102"/>
      <c r="G209" s="102"/>
      <c r="H209" s="210">
        <f t="shared" si="10"/>
        <v>2201</v>
      </c>
      <c r="I209" s="86"/>
      <c r="J209" s="219">
        <f t="shared" si="11"/>
        <v>2201</v>
      </c>
    </row>
    <row r="210" spans="1:10" ht="15" customHeight="1">
      <c r="A210" s="98"/>
      <c r="B210" s="117" t="s">
        <v>175</v>
      </c>
      <c r="C210" s="102"/>
      <c r="D210" s="102"/>
      <c r="E210" s="102">
        <v>1000</v>
      </c>
      <c r="F210" s="102"/>
      <c r="G210" s="102"/>
      <c r="H210" s="210">
        <f t="shared" si="10"/>
        <v>1000</v>
      </c>
      <c r="I210" s="86"/>
      <c r="J210" s="219">
        <f t="shared" si="11"/>
        <v>1000</v>
      </c>
    </row>
    <row r="211" spans="1:10" ht="15" customHeight="1">
      <c r="A211" s="98"/>
      <c r="B211" s="117" t="s">
        <v>324</v>
      </c>
      <c r="C211" s="102"/>
      <c r="D211" s="102"/>
      <c r="E211" s="102">
        <v>552</v>
      </c>
      <c r="F211" s="102"/>
      <c r="G211" s="102"/>
      <c r="H211" s="210">
        <f t="shared" si="10"/>
        <v>552</v>
      </c>
      <c r="I211" s="86"/>
      <c r="J211" s="219">
        <f t="shared" si="11"/>
        <v>552</v>
      </c>
    </row>
    <row r="212" spans="1:10" ht="17.25" customHeight="1">
      <c r="A212" s="98"/>
      <c r="B212" s="117" t="s">
        <v>786</v>
      </c>
      <c r="C212" s="102"/>
      <c r="D212" s="102"/>
      <c r="E212" s="102">
        <v>2384</v>
      </c>
      <c r="F212" s="102"/>
      <c r="G212" s="102"/>
      <c r="H212" s="210">
        <f t="shared" si="10"/>
        <v>2384</v>
      </c>
      <c r="I212" s="86"/>
      <c r="J212" s="219">
        <f t="shared" si="11"/>
        <v>2384</v>
      </c>
    </row>
    <row r="213" spans="1:10" ht="15" customHeight="1">
      <c r="A213" s="98"/>
      <c r="B213" s="117" t="s">
        <v>185</v>
      </c>
      <c r="C213" s="102"/>
      <c r="D213" s="102"/>
      <c r="E213" s="102">
        <v>2257</v>
      </c>
      <c r="F213" s="102"/>
      <c r="G213" s="102"/>
      <c r="H213" s="210">
        <f t="shared" si="10"/>
        <v>2257</v>
      </c>
      <c r="I213" s="86"/>
      <c r="J213" s="219">
        <f t="shared" si="11"/>
        <v>2257</v>
      </c>
    </row>
    <row r="214" spans="1:10" ht="15" customHeight="1">
      <c r="A214" s="98"/>
      <c r="B214" s="117" t="s">
        <v>774</v>
      </c>
      <c r="C214" s="102"/>
      <c r="D214" s="102"/>
      <c r="E214" s="102">
        <v>2700</v>
      </c>
      <c r="F214" s="102"/>
      <c r="G214" s="102"/>
      <c r="H214" s="210">
        <f t="shared" si="10"/>
        <v>2700</v>
      </c>
      <c r="I214" s="86"/>
      <c r="J214" s="219">
        <f t="shared" si="11"/>
        <v>2700</v>
      </c>
    </row>
    <row r="215" spans="1:10" ht="15" customHeight="1">
      <c r="A215" s="99" t="s">
        <v>534</v>
      </c>
      <c r="B215" s="99" t="s">
        <v>535</v>
      </c>
      <c r="C215" s="101"/>
      <c r="D215" s="101"/>
      <c r="E215" s="101">
        <f>SUM(E216:E220)</f>
        <v>2526</v>
      </c>
      <c r="F215" s="101"/>
      <c r="G215" s="101"/>
      <c r="H215" s="209">
        <f t="shared" si="10"/>
        <v>2526</v>
      </c>
      <c r="I215" s="85"/>
      <c r="J215" s="213">
        <f t="shared" si="11"/>
        <v>2526</v>
      </c>
    </row>
    <row r="216" spans="1:10" s="88" customFormat="1" ht="15" customHeight="1">
      <c r="A216" s="98"/>
      <c r="B216" s="119" t="s">
        <v>517</v>
      </c>
      <c r="C216" s="102"/>
      <c r="D216" s="102"/>
      <c r="E216" s="102">
        <v>800</v>
      </c>
      <c r="F216" s="102"/>
      <c r="G216" s="102"/>
      <c r="H216" s="210">
        <f t="shared" si="10"/>
        <v>800</v>
      </c>
      <c r="I216" s="86"/>
      <c r="J216" s="219">
        <f t="shared" si="11"/>
        <v>800</v>
      </c>
    </row>
    <row r="217" spans="1:10" s="88" customFormat="1" ht="15" customHeight="1">
      <c r="A217" s="98"/>
      <c r="B217" s="119" t="s">
        <v>789</v>
      </c>
      <c r="C217" s="102"/>
      <c r="D217" s="102"/>
      <c r="E217" s="102">
        <v>25</v>
      </c>
      <c r="F217" s="102"/>
      <c r="G217" s="102"/>
      <c r="H217" s="210">
        <f t="shared" si="10"/>
        <v>25</v>
      </c>
      <c r="I217" s="86"/>
      <c r="J217" s="219">
        <f t="shared" si="11"/>
        <v>25</v>
      </c>
    </row>
    <row r="218" spans="1:10" s="89" customFormat="1" ht="29.25" customHeight="1">
      <c r="A218" s="98"/>
      <c r="B218" s="97" t="s">
        <v>835</v>
      </c>
      <c r="C218" s="102"/>
      <c r="D218" s="102"/>
      <c r="E218" s="102">
        <v>1050</v>
      </c>
      <c r="F218" s="102"/>
      <c r="G218" s="102"/>
      <c r="H218" s="210">
        <f t="shared" si="10"/>
        <v>1050</v>
      </c>
      <c r="I218" s="86"/>
      <c r="J218" s="219">
        <f t="shared" si="11"/>
        <v>1050</v>
      </c>
    </row>
    <row r="219" spans="1:10" ht="30.75" customHeight="1">
      <c r="A219" s="98"/>
      <c r="B219" s="97" t="s">
        <v>790</v>
      </c>
      <c r="C219" s="102"/>
      <c r="D219" s="102"/>
      <c r="E219" s="102">
        <v>255</v>
      </c>
      <c r="F219" s="102"/>
      <c r="G219" s="102"/>
      <c r="H219" s="210">
        <f t="shared" si="10"/>
        <v>255</v>
      </c>
      <c r="I219" s="86"/>
      <c r="J219" s="219">
        <f t="shared" si="11"/>
        <v>255</v>
      </c>
    </row>
    <row r="220" spans="1:10" ht="15" customHeight="1">
      <c r="A220" s="98"/>
      <c r="B220" s="98" t="s">
        <v>791</v>
      </c>
      <c r="C220" s="102"/>
      <c r="D220" s="102"/>
      <c r="E220" s="102">
        <v>396</v>
      </c>
      <c r="F220" s="102"/>
      <c r="G220" s="102"/>
      <c r="H220" s="210">
        <f t="shared" si="10"/>
        <v>396</v>
      </c>
      <c r="I220" s="86"/>
      <c r="J220" s="219">
        <f t="shared" si="11"/>
        <v>396</v>
      </c>
    </row>
    <row r="221" spans="1:10" ht="15" customHeight="1">
      <c r="A221" s="99" t="s">
        <v>538</v>
      </c>
      <c r="B221" s="99" t="s">
        <v>539</v>
      </c>
      <c r="C221" s="101"/>
      <c r="D221" s="101"/>
      <c r="E221" s="101">
        <v>350000</v>
      </c>
      <c r="F221" s="101"/>
      <c r="G221" s="101"/>
      <c r="H221" s="209">
        <f t="shared" si="10"/>
        <v>350000</v>
      </c>
      <c r="I221" s="85"/>
      <c r="J221" s="213">
        <f t="shared" si="11"/>
        <v>350000</v>
      </c>
    </row>
    <row r="222" spans="1:10" ht="15" customHeight="1">
      <c r="A222" s="99" t="s">
        <v>540</v>
      </c>
      <c r="B222" s="99" t="s">
        <v>541</v>
      </c>
      <c r="C222" s="101"/>
      <c r="D222" s="101"/>
      <c r="E222" s="101">
        <f>SUM(E223:E242)</f>
        <v>60017</v>
      </c>
      <c r="F222" s="101"/>
      <c r="G222" s="101"/>
      <c r="H222" s="209">
        <f t="shared" si="10"/>
        <v>60017</v>
      </c>
      <c r="I222" s="85"/>
      <c r="J222" s="213">
        <f t="shared" si="11"/>
        <v>60017</v>
      </c>
    </row>
    <row r="223" spans="1:10" ht="15" customHeight="1">
      <c r="A223" s="98"/>
      <c r="B223" s="97" t="s">
        <v>562</v>
      </c>
      <c r="C223" s="102"/>
      <c r="D223" s="102"/>
      <c r="E223" s="102">
        <v>17000</v>
      </c>
      <c r="F223" s="102"/>
      <c r="G223" s="102"/>
      <c r="H223" s="210">
        <f t="shared" si="10"/>
        <v>17000</v>
      </c>
      <c r="I223" s="215"/>
      <c r="J223" s="219">
        <f t="shared" si="11"/>
        <v>17000</v>
      </c>
    </row>
    <row r="224" spans="1:10" ht="15" customHeight="1">
      <c r="A224" s="98"/>
      <c r="B224" s="98" t="s">
        <v>774</v>
      </c>
      <c r="C224" s="102"/>
      <c r="D224" s="102"/>
      <c r="E224" s="102">
        <v>11923</v>
      </c>
      <c r="F224" s="102"/>
      <c r="G224" s="102"/>
      <c r="H224" s="210">
        <f t="shared" si="10"/>
        <v>11923</v>
      </c>
      <c r="I224" s="86"/>
      <c r="J224" s="219">
        <f t="shared" si="11"/>
        <v>11923</v>
      </c>
    </row>
    <row r="225" spans="1:10" ht="31.9" customHeight="1">
      <c r="A225" s="98"/>
      <c r="B225" s="97"/>
      <c r="C225" s="102"/>
      <c r="D225" s="102"/>
      <c r="E225" s="102"/>
      <c r="F225" s="102"/>
      <c r="G225" s="102"/>
      <c r="H225" s="210">
        <f t="shared" si="10"/>
        <v>0</v>
      </c>
      <c r="I225" s="86"/>
      <c r="J225" s="219">
        <f t="shared" si="11"/>
        <v>0</v>
      </c>
    </row>
    <row r="226" spans="1:10" ht="15" customHeight="1">
      <c r="A226" s="98"/>
      <c r="B226" s="98" t="s">
        <v>450</v>
      </c>
      <c r="C226" s="102"/>
      <c r="D226" s="102"/>
      <c r="E226" s="102">
        <v>5534</v>
      </c>
      <c r="F226" s="102"/>
      <c r="G226" s="102"/>
      <c r="H226" s="210">
        <f t="shared" si="10"/>
        <v>5534</v>
      </c>
      <c r="I226" s="86"/>
      <c r="J226" s="219">
        <f t="shared" si="11"/>
        <v>5534</v>
      </c>
    </row>
    <row r="227" spans="1:10" ht="15" customHeight="1">
      <c r="A227" s="98"/>
      <c r="B227" s="98" t="s">
        <v>3</v>
      </c>
      <c r="C227" s="102"/>
      <c r="D227" s="102"/>
      <c r="E227" s="102">
        <v>115</v>
      </c>
      <c r="F227" s="102"/>
      <c r="G227" s="102"/>
      <c r="H227" s="210">
        <f t="shared" si="10"/>
        <v>115</v>
      </c>
      <c r="I227" s="86"/>
      <c r="J227" s="219">
        <f t="shared" si="11"/>
        <v>115</v>
      </c>
    </row>
    <row r="228" spans="1:10" ht="30.75" customHeight="1">
      <c r="A228" s="98"/>
      <c r="B228" s="97" t="s">
        <v>7</v>
      </c>
      <c r="C228" s="102"/>
      <c r="D228" s="102"/>
      <c r="E228" s="102">
        <v>85</v>
      </c>
      <c r="F228" s="102"/>
      <c r="G228" s="102"/>
      <c r="H228" s="210">
        <f t="shared" si="10"/>
        <v>85</v>
      </c>
      <c r="I228" s="86"/>
      <c r="J228" s="219">
        <f t="shared" si="11"/>
        <v>85</v>
      </c>
    </row>
    <row r="229" spans="1:10" ht="15" customHeight="1">
      <c r="A229" s="98"/>
      <c r="B229" s="98" t="s">
        <v>138</v>
      </c>
      <c r="C229" s="102"/>
      <c r="D229" s="102"/>
      <c r="E229" s="95">
        <v>1200</v>
      </c>
      <c r="F229" s="102"/>
      <c r="G229" s="102"/>
      <c r="H229" s="210">
        <f t="shared" si="10"/>
        <v>1200</v>
      </c>
      <c r="I229" s="86"/>
      <c r="J229" s="219">
        <f t="shared" si="11"/>
        <v>1200</v>
      </c>
    </row>
    <row r="230" spans="1:10" ht="30" customHeight="1">
      <c r="A230" s="98"/>
      <c r="B230" s="97" t="s">
        <v>10</v>
      </c>
      <c r="C230" s="102"/>
      <c r="D230" s="102"/>
      <c r="E230" s="95">
        <v>500</v>
      </c>
      <c r="F230" s="102"/>
      <c r="G230" s="102"/>
      <c r="H230" s="210">
        <f t="shared" si="10"/>
        <v>500</v>
      </c>
      <c r="I230" s="86"/>
      <c r="J230" s="219">
        <f t="shared" si="11"/>
        <v>500</v>
      </c>
    </row>
    <row r="231" spans="1:10" ht="15" customHeight="1">
      <c r="A231" s="98"/>
      <c r="B231" s="98" t="s">
        <v>12</v>
      </c>
      <c r="C231" s="102"/>
      <c r="D231" s="102"/>
      <c r="E231" s="95">
        <v>67</v>
      </c>
      <c r="F231" s="102"/>
      <c r="G231" s="102"/>
      <c r="H231" s="210">
        <f t="shared" si="10"/>
        <v>67</v>
      </c>
      <c r="I231" s="86"/>
      <c r="J231" s="219">
        <f t="shared" si="11"/>
        <v>67</v>
      </c>
    </row>
    <row r="232" spans="1:10" ht="15" customHeight="1">
      <c r="A232" s="98"/>
      <c r="B232" s="98" t="s">
        <v>792</v>
      </c>
      <c r="C232" s="102"/>
      <c r="D232" s="102"/>
      <c r="E232" s="95">
        <v>897</v>
      </c>
      <c r="F232" s="102"/>
      <c r="G232" s="102"/>
      <c r="H232" s="210">
        <f t="shared" si="10"/>
        <v>897</v>
      </c>
      <c r="I232" s="86"/>
      <c r="J232" s="219">
        <f t="shared" si="11"/>
        <v>897</v>
      </c>
    </row>
    <row r="233" spans="1:10" ht="15" customHeight="1">
      <c r="A233" s="98"/>
      <c r="B233" s="98" t="s">
        <v>23</v>
      </c>
      <c r="C233" s="102"/>
      <c r="D233" s="102"/>
      <c r="E233" s="102">
        <v>2191</v>
      </c>
      <c r="F233" s="102"/>
      <c r="G233" s="102"/>
      <c r="H233" s="210">
        <f t="shared" si="10"/>
        <v>2191</v>
      </c>
      <c r="I233" s="86"/>
      <c r="J233" s="219">
        <f t="shared" si="11"/>
        <v>2191</v>
      </c>
    </row>
    <row r="234" spans="1:10" ht="15" customHeight="1">
      <c r="A234" s="98"/>
      <c r="B234" s="98" t="s">
        <v>335</v>
      </c>
      <c r="C234" s="102"/>
      <c r="D234" s="102"/>
      <c r="E234" s="102">
        <v>850</v>
      </c>
      <c r="F234" s="102"/>
      <c r="G234" s="102"/>
      <c r="H234" s="210">
        <f t="shared" si="10"/>
        <v>850</v>
      </c>
      <c r="I234" s="86"/>
      <c r="J234" s="219">
        <f t="shared" si="11"/>
        <v>850</v>
      </c>
    </row>
    <row r="235" spans="1:10" ht="34.9" customHeight="1">
      <c r="A235" s="98"/>
      <c r="B235" s="97" t="s">
        <v>150</v>
      </c>
      <c r="C235" s="102"/>
      <c r="D235" s="102"/>
      <c r="E235" s="102">
        <v>1825</v>
      </c>
      <c r="F235" s="102"/>
      <c r="G235" s="102"/>
      <c r="H235" s="210">
        <f t="shared" si="12" ref="H235:H266">E235</f>
        <v>1825</v>
      </c>
      <c r="I235" s="86"/>
      <c r="J235" s="219">
        <f t="shared" si="11"/>
        <v>1825</v>
      </c>
    </row>
    <row r="236" spans="1:10" ht="20.25" customHeight="1">
      <c r="A236" s="98"/>
      <c r="B236" s="98" t="s">
        <v>149</v>
      </c>
      <c r="C236" s="102"/>
      <c r="D236" s="102"/>
      <c r="E236" s="102">
        <v>3590</v>
      </c>
      <c r="F236" s="102"/>
      <c r="G236" s="102"/>
      <c r="H236" s="210">
        <f t="shared" si="12"/>
        <v>3590</v>
      </c>
      <c r="I236" s="86"/>
      <c r="J236" s="219">
        <f t="shared" si="11"/>
        <v>3590</v>
      </c>
    </row>
    <row r="237" spans="1:10" ht="15" customHeight="1">
      <c r="A237" s="98"/>
      <c r="B237" s="98" t="s">
        <v>337</v>
      </c>
      <c r="C237" s="102"/>
      <c r="D237" s="102"/>
      <c r="E237" s="102">
        <v>240</v>
      </c>
      <c r="F237" s="102"/>
      <c r="G237" s="102"/>
      <c r="H237" s="210">
        <f t="shared" si="12"/>
        <v>240</v>
      </c>
      <c r="I237" s="86"/>
      <c r="J237" s="219">
        <f t="shared" si="11"/>
        <v>240</v>
      </c>
    </row>
    <row r="238" spans="1:10" ht="15" customHeight="1">
      <c r="A238" s="98"/>
      <c r="B238" s="97" t="s">
        <v>198</v>
      </c>
      <c r="C238" s="102"/>
      <c r="D238" s="102"/>
      <c r="E238" s="102">
        <v>200</v>
      </c>
      <c r="F238" s="102"/>
      <c r="G238" s="102"/>
      <c r="H238" s="210">
        <f t="shared" si="12"/>
        <v>200</v>
      </c>
      <c r="I238" s="86"/>
      <c r="J238" s="219">
        <f t="shared" si="11"/>
        <v>200</v>
      </c>
    </row>
    <row r="239" spans="1:10" ht="15" customHeight="1">
      <c r="A239" s="98"/>
      <c r="B239" s="98" t="s">
        <v>121</v>
      </c>
      <c r="C239" s="102"/>
      <c r="D239" s="102"/>
      <c r="E239" s="102">
        <v>7500</v>
      </c>
      <c r="F239" s="102"/>
      <c r="G239" s="102"/>
      <c r="H239" s="210">
        <f t="shared" si="12"/>
        <v>7500</v>
      </c>
      <c r="I239" s="86"/>
      <c r="J239" s="219">
        <f t="shared" si="11"/>
        <v>7500</v>
      </c>
    </row>
    <row r="240" spans="1:10" ht="15" customHeight="1">
      <c r="A240" s="98"/>
      <c r="B240" s="98" t="s">
        <v>127</v>
      </c>
      <c r="C240" s="102"/>
      <c r="D240" s="102"/>
      <c r="E240" s="102">
        <v>1000</v>
      </c>
      <c r="F240" s="102"/>
      <c r="G240" s="102"/>
      <c r="H240" s="210">
        <f t="shared" si="12"/>
        <v>1000</v>
      </c>
      <c r="I240" s="86"/>
      <c r="J240" s="219">
        <f t="shared" si="11"/>
        <v>1000</v>
      </c>
    </row>
    <row r="241" spans="1:10" ht="14.25" customHeight="1">
      <c r="A241" s="98"/>
      <c r="B241" s="98" t="s">
        <v>122</v>
      </c>
      <c r="C241" s="102"/>
      <c r="D241" s="102"/>
      <c r="E241" s="102">
        <v>2100</v>
      </c>
      <c r="F241" s="102"/>
      <c r="G241" s="102"/>
      <c r="H241" s="210">
        <f t="shared" si="12"/>
        <v>2100</v>
      </c>
      <c r="I241" s="86"/>
      <c r="J241" s="219">
        <f t="shared" si="11"/>
        <v>2100</v>
      </c>
    </row>
    <row r="242" spans="1:10" ht="15" customHeight="1">
      <c r="A242" s="98"/>
      <c r="B242" s="98" t="s">
        <v>542</v>
      </c>
      <c r="C242" s="102"/>
      <c r="D242" s="102"/>
      <c r="E242" s="102">
        <v>3200</v>
      </c>
      <c r="F242" s="102"/>
      <c r="G242" s="102"/>
      <c r="H242" s="210">
        <f t="shared" si="12"/>
        <v>3200</v>
      </c>
      <c r="I242" s="86"/>
      <c r="J242" s="219">
        <f t="shared" si="11"/>
        <v>3200</v>
      </c>
    </row>
    <row r="243" spans="1:11" s="88" customFormat="1" ht="32.25" customHeight="1">
      <c r="A243" s="99" t="s">
        <v>543</v>
      </c>
      <c r="B243" s="100" t="s">
        <v>544</v>
      </c>
      <c r="C243" s="101"/>
      <c r="D243" s="101"/>
      <c r="E243" s="101">
        <f>E244+E251+E261+E284+E366+E368</f>
        <v>4236803</v>
      </c>
      <c r="F243" s="102"/>
      <c r="G243" s="102"/>
      <c r="H243" s="209">
        <f t="shared" si="12"/>
        <v>4236803</v>
      </c>
      <c r="I243" s="86"/>
      <c r="J243" s="213">
        <f t="shared" si="11"/>
        <v>4236803</v>
      </c>
      <c r="K243" s="76"/>
    </row>
    <row r="244" spans="1:11" ht="32.25" customHeight="1">
      <c r="A244" s="99" t="s">
        <v>545</v>
      </c>
      <c r="B244" s="100" t="s">
        <v>546</v>
      </c>
      <c r="C244" s="101"/>
      <c r="D244" s="101"/>
      <c r="E244" s="101">
        <f>SUM(E245:E250)</f>
        <v>1718129</v>
      </c>
      <c r="F244" s="101"/>
      <c r="G244" s="101"/>
      <c r="H244" s="209">
        <f t="shared" si="12"/>
        <v>1718129</v>
      </c>
      <c r="I244" s="86"/>
      <c r="J244" s="213">
        <f t="shared" si="11"/>
        <v>1718129</v>
      </c>
      <c r="K244" s="88"/>
    </row>
    <row r="245" spans="1:13" ht="15" customHeight="1">
      <c r="A245" s="98"/>
      <c r="B245" s="97" t="s">
        <v>53</v>
      </c>
      <c r="C245" s="102"/>
      <c r="D245" s="102"/>
      <c r="E245" s="95">
        <v>1161994</v>
      </c>
      <c r="F245" s="102"/>
      <c r="G245" s="102"/>
      <c r="H245" s="210">
        <f t="shared" si="12"/>
        <v>1161994</v>
      </c>
      <c r="I245" s="215"/>
      <c r="J245" s="219">
        <f t="shared" si="11"/>
        <v>1161994</v>
      </c>
      <c r="L245" s="161"/>
      <c r="M245" s="161"/>
    </row>
    <row r="246" spans="1:10" ht="15" customHeight="1">
      <c r="A246" s="98"/>
      <c r="B246" s="97" t="s">
        <v>84</v>
      </c>
      <c r="C246" s="102"/>
      <c r="D246" s="102"/>
      <c r="E246" s="102">
        <v>10796</v>
      </c>
      <c r="F246" s="102"/>
      <c r="G246" s="102"/>
      <c r="H246" s="210">
        <f t="shared" si="12"/>
        <v>10796</v>
      </c>
      <c r="I246" s="86"/>
      <c r="J246" s="219">
        <f t="shared" si="11"/>
        <v>10796</v>
      </c>
    </row>
    <row r="247" spans="1:10" ht="15" customHeight="1">
      <c r="A247" s="98"/>
      <c r="B247" s="97" t="s">
        <v>508</v>
      </c>
      <c r="C247" s="102"/>
      <c r="D247" s="102"/>
      <c r="E247" s="95">
        <v>164000</v>
      </c>
      <c r="F247" s="102"/>
      <c r="G247" s="102"/>
      <c r="H247" s="210">
        <f t="shared" si="12"/>
        <v>164000</v>
      </c>
      <c r="I247" s="86"/>
      <c r="J247" s="219">
        <f t="shared" si="11"/>
        <v>164000</v>
      </c>
    </row>
    <row r="248" spans="1:10" ht="15" customHeight="1">
      <c r="A248" s="98"/>
      <c r="B248" s="117" t="s">
        <v>130</v>
      </c>
      <c r="C248" s="102"/>
      <c r="D248" s="102"/>
      <c r="E248" s="102">
        <v>215220</v>
      </c>
      <c r="F248" s="102"/>
      <c r="G248" s="102"/>
      <c r="H248" s="210">
        <f t="shared" si="12"/>
        <v>215220</v>
      </c>
      <c r="I248" s="86"/>
      <c r="J248" s="219">
        <f t="shared" si="11"/>
        <v>215220</v>
      </c>
    </row>
    <row r="249" spans="1:10" ht="15" customHeight="1">
      <c r="A249" s="98"/>
      <c r="B249" s="117" t="s">
        <v>131</v>
      </c>
      <c r="C249" s="102"/>
      <c r="D249" s="102"/>
      <c r="E249" s="102">
        <v>155308</v>
      </c>
      <c r="F249" s="102"/>
      <c r="G249" s="102"/>
      <c r="H249" s="210">
        <f t="shared" si="12"/>
        <v>155308</v>
      </c>
      <c r="I249" s="86"/>
      <c r="J249" s="219">
        <f t="shared" si="11"/>
        <v>155308</v>
      </c>
    </row>
    <row r="250" spans="1:10" ht="15" customHeight="1">
      <c r="A250" s="98"/>
      <c r="B250" s="117" t="s">
        <v>450</v>
      </c>
      <c r="C250" s="102"/>
      <c r="D250" s="102"/>
      <c r="E250" s="102">
        <v>10811</v>
      </c>
      <c r="F250" s="102"/>
      <c r="G250" s="102"/>
      <c r="H250" s="210">
        <f t="shared" si="12"/>
        <v>10811</v>
      </c>
      <c r="I250" s="86"/>
      <c r="J250" s="219">
        <f t="shared" si="11"/>
        <v>10811</v>
      </c>
    </row>
    <row r="251" spans="1:11" s="88" customFormat="1" ht="29.25" customHeight="1">
      <c r="A251" s="99" t="s">
        <v>547</v>
      </c>
      <c r="B251" s="100" t="s">
        <v>548</v>
      </c>
      <c r="C251" s="101"/>
      <c r="D251" s="101"/>
      <c r="E251" s="101">
        <f>SUM(E252:E260)</f>
        <v>510</v>
      </c>
      <c r="F251" s="101"/>
      <c r="G251" s="101"/>
      <c r="H251" s="209">
        <f t="shared" si="12"/>
        <v>510</v>
      </c>
      <c r="I251" s="85"/>
      <c r="J251" s="213">
        <f t="shared" si="11"/>
        <v>510</v>
      </c>
      <c r="K251" s="76"/>
    </row>
    <row r="252" spans="1:11" ht="15" customHeight="1">
      <c r="A252" s="98"/>
      <c r="B252" s="117" t="s">
        <v>30</v>
      </c>
      <c r="C252" s="102"/>
      <c r="D252" s="102"/>
      <c r="E252" s="102">
        <v>150</v>
      </c>
      <c r="F252" s="102"/>
      <c r="G252" s="102"/>
      <c r="H252" s="210">
        <f t="shared" si="12"/>
        <v>150</v>
      </c>
      <c r="I252" s="86"/>
      <c r="J252" s="219">
        <f t="shared" si="11"/>
        <v>150</v>
      </c>
      <c r="K252" s="88"/>
    </row>
    <row r="253" spans="1:10" ht="15" customHeight="1">
      <c r="A253" s="98"/>
      <c r="B253" s="117" t="s">
        <v>549</v>
      </c>
      <c r="C253" s="102"/>
      <c r="D253" s="102"/>
      <c r="E253" s="102">
        <v>50</v>
      </c>
      <c r="F253" s="102"/>
      <c r="G253" s="102"/>
      <c r="H253" s="210">
        <f t="shared" si="12"/>
        <v>50</v>
      </c>
      <c r="I253" s="86"/>
      <c r="J253" s="219">
        <f t="shared" si="11"/>
        <v>50</v>
      </c>
    </row>
    <row r="254" spans="1:10" ht="15" customHeight="1">
      <c r="A254" s="98"/>
      <c r="B254" s="117" t="s">
        <v>153</v>
      </c>
      <c r="C254" s="102"/>
      <c r="D254" s="102"/>
      <c r="E254" s="102">
        <v>10</v>
      </c>
      <c r="F254" s="102"/>
      <c r="G254" s="102"/>
      <c r="H254" s="210">
        <f t="shared" si="12"/>
        <v>10</v>
      </c>
      <c r="I254" s="86"/>
      <c r="J254" s="219">
        <f t="shared" si="11"/>
        <v>10</v>
      </c>
    </row>
    <row r="255" spans="1:10" ht="15" customHeight="1">
      <c r="A255" s="98"/>
      <c r="B255" s="117" t="s">
        <v>550</v>
      </c>
      <c r="C255" s="102"/>
      <c r="D255" s="102"/>
      <c r="E255" s="102">
        <v>50</v>
      </c>
      <c r="F255" s="102"/>
      <c r="G255" s="102"/>
      <c r="H255" s="210">
        <f t="shared" si="12"/>
        <v>50</v>
      </c>
      <c r="I255" s="86"/>
      <c r="J255" s="219">
        <f t="shared" si="11"/>
        <v>50</v>
      </c>
    </row>
    <row r="256" spans="1:10" ht="15" customHeight="1">
      <c r="A256" s="98"/>
      <c r="B256" s="117" t="s">
        <v>491</v>
      </c>
      <c r="C256" s="102"/>
      <c r="D256" s="102"/>
      <c r="E256" s="102">
        <v>50</v>
      </c>
      <c r="F256" s="102"/>
      <c r="G256" s="102"/>
      <c r="H256" s="210">
        <f t="shared" si="12"/>
        <v>50</v>
      </c>
      <c r="I256" s="86"/>
      <c r="J256" s="219">
        <f t="shared" si="11"/>
        <v>50</v>
      </c>
    </row>
    <row r="257" spans="1:10" ht="15" customHeight="1">
      <c r="A257" s="98"/>
      <c r="B257" s="117" t="s">
        <v>551</v>
      </c>
      <c r="C257" s="102"/>
      <c r="D257" s="102"/>
      <c r="E257" s="102">
        <v>50</v>
      </c>
      <c r="F257" s="102"/>
      <c r="G257" s="102"/>
      <c r="H257" s="210">
        <f t="shared" si="12"/>
        <v>50</v>
      </c>
      <c r="I257" s="86"/>
      <c r="J257" s="219">
        <f t="shared" si="11"/>
        <v>50</v>
      </c>
    </row>
    <row r="258" spans="1:10" ht="15" customHeight="1">
      <c r="A258" s="98"/>
      <c r="B258" s="117" t="s">
        <v>128</v>
      </c>
      <c r="C258" s="102"/>
      <c r="D258" s="102"/>
      <c r="E258" s="102">
        <v>50</v>
      </c>
      <c r="F258" s="102"/>
      <c r="G258" s="102"/>
      <c r="H258" s="210">
        <f t="shared" si="12"/>
        <v>50</v>
      </c>
      <c r="I258" s="86"/>
      <c r="J258" s="219">
        <f t="shared" si="11"/>
        <v>50</v>
      </c>
    </row>
    <row r="259" spans="1:10" ht="15" customHeight="1">
      <c r="A259" s="98"/>
      <c r="B259" s="117" t="s">
        <v>552</v>
      </c>
      <c r="C259" s="102"/>
      <c r="D259" s="102"/>
      <c r="E259" s="102">
        <v>50</v>
      </c>
      <c r="F259" s="102"/>
      <c r="G259" s="102"/>
      <c r="H259" s="210">
        <f t="shared" si="12"/>
        <v>50</v>
      </c>
      <c r="I259" s="86"/>
      <c r="J259" s="219">
        <f t="shared" si="11"/>
        <v>50</v>
      </c>
    </row>
    <row r="260" spans="1:10" ht="15" customHeight="1">
      <c r="A260" s="98"/>
      <c r="B260" s="117" t="s">
        <v>553</v>
      </c>
      <c r="C260" s="102"/>
      <c r="D260" s="102"/>
      <c r="E260" s="102">
        <v>50</v>
      </c>
      <c r="F260" s="102"/>
      <c r="G260" s="102"/>
      <c r="H260" s="210">
        <f t="shared" si="12"/>
        <v>50</v>
      </c>
      <c r="I260" s="86"/>
      <c r="J260" s="219">
        <f t="shared" si="11"/>
        <v>50</v>
      </c>
    </row>
    <row r="261" spans="1:10" ht="15" customHeight="1">
      <c r="A261" s="99" t="s">
        <v>554</v>
      </c>
      <c r="B261" s="99" t="s">
        <v>555</v>
      </c>
      <c r="C261" s="101"/>
      <c r="D261" s="101"/>
      <c r="E261" s="101">
        <f>SUM(E262:E283)</f>
        <v>81938</v>
      </c>
      <c r="F261" s="101"/>
      <c r="G261" s="101"/>
      <c r="H261" s="209">
        <f t="shared" si="12"/>
        <v>81938</v>
      </c>
      <c r="I261" s="85"/>
      <c r="J261" s="213">
        <f t="shared" si="11"/>
        <v>81938</v>
      </c>
    </row>
    <row r="262" spans="1:10" ht="15" customHeight="1">
      <c r="A262" s="98"/>
      <c r="B262" s="119" t="s">
        <v>793</v>
      </c>
      <c r="C262" s="102"/>
      <c r="D262" s="102"/>
      <c r="E262" s="102">
        <v>37736</v>
      </c>
      <c r="F262" s="102"/>
      <c r="G262" s="102"/>
      <c r="H262" s="210">
        <f t="shared" si="12"/>
        <v>37736</v>
      </c>
      <c r="I262" s="86"/>
      <c r="J262" s="219">
        <f t="shared" si="11"/>
        <v>37736</v>
      </c>
    </row>
    <row r="263" spans="1:10" ht="15" customHeight="1">
      <c r="A263" s="98"/>
      <c r="B263" s="119" t="s">
        <v>794</v>
      </c>
      <c r="C263" s="102"/>
      <c r="D263" s="102"/>
      <c r="E263" s="102">
        <v>1800</v>
      </c>
      <c r="F263" s="102"/>
      <c r="G263" s="102"/>
      <c r="H263" s="210">
        <f t="shared" si="12"/>
        <v>1800</v>
      </c>
      <c r="I263" s="86"/>
      <c r="J263" s="219">
        <f t="shared" si="11"/>
        <v>1800</v>
      </c>
    </row>
    <row r="264" spans="1:10" ht="15" customHeight="1">
      <c r="A264" s="98"/>
      <c r="B264" s="119" t="s">
        <v>556</v>
      </c>
      <c r="C264" s="102"/>
      <c r="D264" s="102"/>
      <c r="E264" s="102">
        <v>2800</v>
      </c>
      <c r="F264" s="102"/>
      <c r="G264" s="102"/>
      <c r="H264" s="210">
        <f t="shared" si="12"/>
        <v>2800</v>
      </c>
      <c r="I264" s="86"/>
      <c r="J264" s="219">
        <f t="shared" si="11"/>
        <v>2800</v>
      </c>
    </row>
    <row r="265" spans="1:10" ht="15" customHeight="1">
      <c r="A265" s="98"/>
      <c r="B265" s="119" t="s">
        <v>307</v>
      </c>
      <c r="C265" s="102"/>
      <c r="D265" s="102"/>
      <c r="E265" s="102">
        <v>400</v>
      </c>
      <c r="F265" s="102"/>
      <c r="G265" s="102"/>
      <c r="H265" s="210">
        <f t="shared" si="12"/>
        <v>400</v>
      </c>
      <c r="I265" s="86"/>
      <c r="J265" s="219">
        <f t="shared" si="11"/>
        <v>400</v>
      </c>
    </row>
    <row r="266" spans="1:10" ht="15" customHeight="1">
      <c r="A266" s="98"/>
      <c r="B266" s="119" t="s">
        <v>39</v>
      </c>
      <c r="C266" s="102"/>
      <c r="D266" s="102"/>
      <c r="E266" s="102">
        <v>200</v>
      </c>
      <c r="F266" s="102"/>
      <c r="G266" s="102"/>
      <c r="H266" s="210">
        <f t="shared" si="12"/>
        <v>200</v>
      </c>
      <c r="I266" s="86"/>
      <c r="J266" s="219">
        <f t="shared" si="11"/>
        <v>200</v>
      </c>
    </row>
    <row r="267" spans="1:10" ht="15" customHeight="1">
      <c r="A267" s="98"/>
      <c r="B267" s="119" t="s">
        <v>557</v>
      </c>
      <c r="C267" s="102"/>
      <c r="D267" s="102"/>
      <c r="E267" s="102">
        <v>2467</v>
      </c>
      <c r="F267" s="102"/>
      <c r="G267" s="102"/>
      <c r="H267" s="210">
        <f t="shared" si="13" ref="H267:H300">E267</f>
        <v>2467</v>
      </c>
      <c r="I267" s="86"/>
      <c r="J267" s="219">
        <f t="shared" si="11"/>
        <v>2467</v>
      </c>
    </row>
    <row r="268" spans="1:10" ht="15" customHeight="1">
      <c r="A268" s="98"/>
      <c r="B268" s="119" t="s">
        <v>473</v>
      </c>
      <c r="C268" s="102"/>
      <c r="D268" s="102"/>
      <c r="E268" s="102">
        <v>6000</v>
      </c>
      <c r="F268" s="102"/>
      <c r="G268" s="102"/>
      <c r="H268" s="210">
        <f t="shared" si="13"/>
        <v>6000</v>
      </c>
      <c r="I268" s="86"/>
      <c r="J268" s="219">
        <f t="shared" si="11"/>
        <v>6000</v>
      </c>
    </row>
    <row r="269" spans="1:10" ht="15" customHeight="1">
      <c r="A269" s="98"/>
      <c r="B269" s="119" t="s">
        <v>693</v>
      </c>
      <c r="C269" s="102"/>
      <c r="D269" s="102"/>
      <c r="E269" s="102">
        <v>200</v>
      </c>
      <c r="F269" s="102"/>
      <c r="G269" s="102"/>
      <c r="H269" s="210">
        <f t="shared" si="13"/>
        <v>200</v>
      </c>
      <c r="I269" s="86"/>
      <c r="J269" s="219">
        <f t="shared" si="11"/>
        <v>200</v>
      </c>
    </row>
    <row r="270" spans="1:10" ht="15" customHeight="1">
      <c r="A270" s="98"/>
      <c r="B270" s="119" t="s">
        <v>159</v>
      </c>
      <c r="C270" s="102"/>
      <c r="D270" s="102"/>
      <c r="E270" s="102">
        <v>4900</v>
      </c>
      <c r="F270" s="102"/>
      <c r="G270" s="102"/>
      <c r="H270" s="210">
        <f t="shared" si="13"/>
        <v>4900</v>
      </c>
      <c r="I270" s="86"/>
      <c r="J270" s="219">
        <f t="shared" si="14" ref="J270:J333">H270+I270</f>
        <v>4900</v>
      </c>
    </row>
    <row r="271" spans="1:10" ht="15" customHeight="1">
      <c r="A271" s="98"/>
      <c r="B271" s="119" t="s">
        <v>206</v>
      </c>
      <c r="C271" s="102"/>
      <c r="D271" s="102"/>
      <c r="E271" s="102">
        <v>560</v>
      </c>
      <c r="F271" s="102"/>
      <c r="G271" s="102"/>
      <c r="H271" s="210">
        <f t="shared" si="13"/>
        <v>560</v>
      </c>
      <c r="I271" s="86"/>
      <c r="J271" s="219">
        <f t="shared" si="14"/>
        <v>560</v>
      </c>
    </row>
    <row r="272" spans="1:10" ht="15" customHeight="1">
      <c r="A272" s="98"/>
      <c r="B272" s="119" t="s">
        <v>759</v>
      </c>
      <c r="C272" s="102"/>
      <c r="D272" s="102"/>
      <c r="E272" s="102">
        <v>50</v>
      </c>
      <c r="F272" s="102"/>
      <c r="G272" s="102"/>
      <c r="H272" s="210">
        <f t="shared" si="13"/>
        <v>50</v>
      </c>
      <c r="I272" s="86"/>
      <c r="J272" s="219">
        <f t="shared" si="14"/>
        <v>50</v>
      </c>
    </row>
    <row r="273" spans="1:10" ht="15" customHeight="1">
      <c r="A273" s="98"/>
      <c r="B273" s="119" t="s">
        <v>558</v>
      </c>
      <c r="C273" s="102"/>
      <c r="D273" s="102"/>
      <c r="E273" s="102">
        <v>2500</v>
      </c>
      <c r="F273" s="102"/>
      <c r="G273" s="102"/>
      <c r="H273" s="210">
        <f t="shared" si="13"/>
        <v>2500</v>
      </c>
      <c r="I273" s="86"/>
      <c r="J273" s="219">
        <f t="shared" si="14"/>
        <v>2500</v>
      </c>
    </row>
    <row r="274" spans="1:11" s="88" customFormat="1" ht="24" customHeight="1">
      <c r="A274" s="98"/>
      <c r="B274" s="119" t="s">
        <v>217</v>
      </c>
      <c r="C274" s="102"/>
      <c r="D274" s="102"/>
      <c r="E274" s="102">
        <v>2740</v>
      </c>
      <c r="F274" s="102"/>
      <c r="G274" s="102"/>
      <c r="H274" s="210">
        <f t="shared" si="13"/>
        <v>2740</v>
      </c>
      <c r="I274" s="86"/>
      <c r="J274" s="219">
        <f t="shared" si="14"/>
        <v>2740</v>
      </c>
      <c r="K274" s="76"/>
    </row>
    <row r="275" spans="1:10" s="88" customFormat="1" ht="15" customHeight="1">
      <c r="A275" s="98"/>
      <c r="B275" s="119" t="s">
        <v>478</v>
      </c>
      <c r="C275" s="102"/>
      <c r="D275" s="102"/>
      <c r="E275" s="102">
        <v>765</v>
      </c>
      <c r="F275" s="102"/>
      <c r="G275" s="102"/>
      <c r="H275" s="210">
        <f t="shared" si="13"/>
        <v>765</v>
      </c>
      <c r="I275" s="86"/>
      <c r="J275" s="219">
        <f t="shared" si="14"/>
        <v>765</v>
      </c>
    </row>
    <row r="276" spans="1:11" s="89" customFormat="1" ht="15" customHeight="1">
      <c r="A276" s="98"/>
      <c r="B276" s="119" t="s">
        <v>41</v>
      </c>
      <c r="C276" s="102"/>
      <c r="D276" s="102"/>
      <c r="E276" s="102">
        <v>500</v>
      </c>
      <c r="F276" s="102"/>
      <c r="G276" s="102"/>
      <c r="H276" s="210">
        <f t="shared" si="13"/>
        <v>500</v>
      </c>
      <c r="I276" s="86"/>
      <c r="J276" s="219">
        <f t="shared" si="14"/>
        <v>500</v>
      </c>
      <c r="K276" s="88"/>
    </row>
    <row r="277" spans="1:11" ht="24.75" customHeight="1">
      <c r="A277" s="98"/>
      <c r="B277" s="119" t="s">
        <v>157</v>
      </c>
      <c r="C277" s="102"/>
      <c r="D277" s="102"/>
      <c r="E277" s="102">
        <v>9200</v>
      </c>
      <c r="F277" s="102"/>
      <c r="G277" s="102"/>
      <c r="H277" s="210">
        <f t="shared" si="13"/>
        <v>9200</v>
      </c>
      <c r="I277" s="86"/>
      <c r="J277" s="219">
        <f t="shared" si="14"/>
        <v>9200</v>
      </c>
      <c r="K277" s="89"/>
    </row>
    <row r="278" spans="1:10" ht="15" customHeight="1">
      <c r="A278" s="98"/>
      <c r="B278" s="119" t="s">
        <v>156</v>
      </c>
      <c r="C278" s="102"/>
      <c r="D278" s="102"/>
      <c r="E278" s="102">
        <v>3500</v>
      </c>
      <c r="F278" s="102"/>
      <c r="G278" s="102"/>
      <c r="H278" s="210">
        <f t="shared" si="13"/>
        <v>3500</v>
      </c>
      <c r="I278" s="86"/>
      <c r="J278" s="219">
        <f t="shared" si="14"/>
        <v>3500</v>
      </c>
    </row>
    <row r="279" spans="1:10" ht="15" customHeight="1">
      <c r="A279" s="98"/>
      <c r="B279" s="119" t="s">
        <v>82</v>
      </c>
      <c r="C279" s="102"/>
      <c r="D279" s="102"/>
      <c r="E279" s="102">
        <v>1800</v>
      </c>
      <c r="F279" s="102"/>
      <c r="G279" s="102"/>
      <c r="H279" s="210">
        <f t="shared" si="13"/>
        <v>1800</v>
      </c>
      <c r="I279" s="86"/>
      <c r="J279" s="219">
        <f t="shared" si="14"/>
        <v>1800</v>
      </c>
    </row>
    <row r="280" spans="1:10" ht="15" customHeight="1">
      <c r="A280" s="98"/>
      <c r="B280" s="119" t="s">
        <v>154</v>
      </c>
      <c r="C280" s="102"/>
      <c r="D280" s="102"/>
      <c r="E280" s="102">
        <v>150</v>
      </c>
      <c r="F280" s="102"/>
      <c r="G280" s="102"/>
      <c r="H280" s="210">
        <f t="shared" si="13"/>
        <v>150</v>
      </c>
      <c r="I280" s="86"/>
      <c r="J280" s="219">
        <f t="shared" si="14"/>
        <v>150</v>
      </c>
    </row>
    <row r="281" spans="1:10" ht="15" customHeight="1">
      <c r="A281" s="98"/>
      <c r="B281" s="119" t="s">
        <v>135</v>
      </c>
      <c r="C281" s="102"/>
      <c r="D281" s="102"/>
      <c r="E281" s="102">
        <v>370</v>
      </c>
      <c r="F281" s="102"/>
      <c r="G281" s="102"/>
      <c r="H281" s="210">
        <f t="shared" si="13"/>
        <v>370</v>
      </c>
      <c r="I281" s="86"/>
      <c r="J281" s="219">
        <f t="shared" si="14"/>
        <v>370</v>
      </c>
    </row>
    <row r="282" spans="1:10" ht="19.5" customHeight="1">
      <c r="A282" s="98"/>
      <c r="B282" s="119" t="s">
        <v>160</v>
      </c>
      <c r="C282" s="102"/>
      <c r="D282" s="102"/>
      <c r="E282" s="102">
        <v>1500</v>
      </c>
      <c r="F282" s="102"/>
      <c r="G282" s="102"/>
      <c r="H282" s="210">
        <f t="shared" si="13"/>
        <v>1500</v>
      </c>
      <c r="I282" s="86"/>
      <c r="J282" s="219">
        <f t="shared" si="14"/>
        <v>1500</v>
      </c>
    </row>
    <row r="283" spans="1:10" ht="15" customHeight="1">
      <c r="A283" s="98"/>
      <c r="B283" s="119" t="s">
        <v>559</v>
      </c>
      <c r="C283" s="102"/>
      <c r="D283" s="102"/>
      <c r="E283" s="102">
        <v>1800</v>
      </c>
      <c r="F283" s="102"/>
      <c r="G283" s="102"/>
      <c r="H283" s="210">
        <f t="shared" si="13"/>
        <v>1800</v>
      </c>
      <c r="I283" s="86"/>
      <c r="J283" s="219">
        <f t="shared" si="14"/>
        <v>1800</v>
      </c>
    </row>
    <row r="284" spans="1:10" ht="33" customHeight="1">
      <c r="A284" s="99" t="s">
        <v>560</v>
      </c>
      <c r="B284" s="100" t="s">
        <v>561</v>
      </c>
      <c r="C284" s="101"/>
      <c r="D284" s="101"/>
      <c r="E284" s="101">
        <f>E285+E357</f>
        <v>2108586</v>
      </c>
      <c r="F284" s="101"/>
      <c r="G284" s="101"/>
      <c r="H284" s="209">
        <f t="shared" si="13"/>
        <v>2108586</v>
      </c>
      <c r="I284" s="201"/>
      <c r="J284" s="213">
        <f t="shared" si="14"/>
        <v>2108586</v>
      </c>
    </row>
    <row r="285" spans="1:10" ht="30" customHeight="1">
      <c r="A285" s="99" t="s">
        <v>564</v>
      </c>
      <c r="B285" s="100" t="s">
        <v>565</v>
      </c>
      <c r="C285" s="101"/>
      <c r="D285" s="101"/>
      <c r="E285" s="101">
        <f>SUM(E286:E356)</f>
        <v>1322579</v>
      </c>
      <c r="F285" s="101"/>
      <c r="G285" s="101"/>
      <c r="H285" s="209">
        <f t="shared" si="13"/>
        <v>1322579</v>
      </c>
      <c r="I285" s="85"/>
      <c r="J285" s="213">
        <f t="shared" si="14"/>
        <v>1322579</v>
      </c>
    </row>
    <row r="286" spans="1:10" ht="20.25" customHeight="1">
      <c r="A286" s="98"/>
      <c r="B286" s="97" t="s">
        <v>562</v>
      </c>
      <c r="C286" s="102"/>
      <c r="D286" s="102"/>
      <c r="E286" s="102">
        <v>7240</v>
      </c>
      <c r="F286" s="102"/>
      <c r="G286" s="102"/>
      <c r="H286" s="210">
        <f t="shared" si="13"/>
        <v>7240</v>
      </c>
      <c r="I286" s="215"/>
      <c r="J286" s="219">
        <f t="shared" si="14"/>
        <v>7240</v>
      </c>
    </row>
    <row r="287" spans="1:10" ht="15" customHeight="1">
      <c r="A287" s="98"/>
      <c r="B287" s="117" t="s">
        <v>532</v>
      </c>
      <c r="C287" s="102"/>
      <c r="D287" s="102"/>
      <c r="E287" s="102">
        <v>4200</v>
      </c>
      <c r="F287" s="102"/>
      <c r="G287" s="102"/>
      <c r="H287" s="210">
        <f t="shared" si="13"/>
        <v>4200</v>
      </c>
      <c r="I287" s="86"/>
      <c r="J287" s="219">
        <f t="shared" si="14"/>
        <v>4200</v>
      </c>
    </row>
    <row r="288" spans="1:10" ht="15" customHeight="1">
      <c r="A288" s="98"/>
      <c r="B288" s="117" t="s">
        <v>796</v>
      </c>
      <c r="C288" s="102"/>
      <c r="D288" s="102"/>
      <c r="E288" s="102">
        <f>226432+282536+217219</f>
        <v>726187</v>
      </c>
      <c r="F288" s="102"/>
      <c r="G288" s="102"/>
      <c r="H288" s="210">
        <f t="shared" si="13"/>
        <v>726187</v>
      </c>
      <c r="I288" s="86"/>
      <c r="J288" s="219">
        <f t="shared" si="14"/>
        <v>726187</v>
      </c>
    </row>
    <row r="289" spans="1:10" ht="15" customHeight="1">
      <c r="A289" s="98"/>
      <c r="B289" s="117" t="s">
        <v>793</v>
      </c>
      <c r="C289" s="102"/>
      <c r="D289" s="102"/>
      <c r="E289" s="102">
        <v>365</v>
      </c>
      <c r="F289" s="102"/>
      <c r="G289" s="102"/>
      <c r="H289" s="210">
        <f t="shared" si="13"/>
        <v>365</v>
      </c>
      <c r="I289" s="215"/>
      <c r="J289" s="219">
        <f t="shared" si="14"/>
        <v>365</v>
      </c>
    </row>
    <row r="290" spans="1:10" ht="15" customHeight="1">
      <c r="A290" s="98"/>
      <c r="B290" s="117" t="s">
        <v>795</v>
      </c>
      <c r="C290" s="102"/>
      <c r="D290" s="102"/>
      <c r="E290" s="102">
        <v>5500</v>
      </c>
      <c r="F290" s="102"/>
      <c r="G290" s="102"/>
      <c r="H290" s="210">
        <f t="shared" si="13"/>
        <v>5500</v>
      </c>
      <c r="I290" s="86"/>
      <c r="J290" s="219">
        <f t="shared" si="14"/>
        <v>5500</v>
      </c>
    </row>
    <row r="291" spans="1:10" ht="15" customHeight="1">
      <c r="A291" s="98"/>
      <c r="B291" s="117" t="s">
        <v>48</v>
      </c>
      <c r="C291" s="102"/>
      <c r="D291" s="102"/>
      <c r="E291" s="102">
        <v>3000</v>
      </c>
      <c r="F291" s="102"/>
      <c r="G291" s="102"/>
      <c r="H291" s="210">
        <f t="shared" si="13"/>
        <v>3000</v>
      </c>
      <c r="I291" s="86"/>
      <c r="J291" s="219">
        <f t="shared" si="14"/>
        <v>3000</v>
      </c>
    </row>
    <row r="292" spans="1:10" ht="15" customHeight="1">
      <c r="A292" s="98"/>
      <c r="B292" s="117" t="s">
        <v>742</v>
      </c>
      <c r="C292" s="102"/>
      <c r="D292" s="102"/>
      <c r="E292" s="102">
        <v>180</v>
      </c>
      <c r="F292" s="102"/>
      <c r="G292" s="102"/>
      <c r="H292" s="210">
        <f t="shared" si="13"/>
        <v>180</v>
      </c>
      <c r="I292" s="86"/>
      <c r="J292" s="219">
        <f t="shared" si="14"/>
        <v>180</v>
      </c>
    </row>
    <row r="293" spans="1:10" ht="30" customHeight="1">
      <c r="A293" s="98"/>
      <c r="B293" s="117" t="s">
        <v>749</v>
      </c>
      <c r="C293" s="102"/>
      <c r="D293" s="102"/>
      <c r="E293" s="102">
        <v>950</v>
      </c>
      <c r="F293" s="102"/>
      <c r="G293" s="102"/>
      <c r="H293" s="210">
        <f t="shared" si="13"/>
        <v>950</v>
      </c>
      <c r="I293" s="86"/>
      <c r="J293" s="219">
        <f t="shared" si="14"/>
        <v>950</v>
      </c>
    </row>
    <row r="294" spans="1:10" ht="30" customHeight="1">
      <c r="A294" s="98"/>
      <c r="B294" s="117" t="s">
        <v>799</v>
      </c>
      <c r="C294" s="102"/>
      <c r="D294" s="102"/>
      <c r="E294" s="102">
        <v>13500</v>
      </c>
      <c r="F294" s="102"/>
      <c r="G294" s="102"/>
      <c r="H294" s="210">
        <f t="shared" si="13"/>
        <v>13500</v>
      </c>
      <c r="I294" s="86"/>
      <c r="J294" s="219">
        <f t="shared" si="14"/>
        <v>13500</v>
      </c>
    </row>
    <row r="295" spans="1:10" ht="26.25" customHeight="1">
      <c r="A295" s="98"/>
      <c r="B295" s="117" t="s">
        <v>798</v>
      </c>
      <c r="C295" s="102"/>
      <c r="D295" s="102"/>
      <c r="E295" s="102">
        <v>9100</v>
      </c>
      <c r="F295" s="102"/>
      <c r="G295" s="102"/>
      <c r="H295" s="210">
        <f t="shared" si="13"/>
        <v>9100</v>
      </c>
      <c r="I295" s="86"/>
      <c r="J295" s="219">
        <f t="shared" si="14"/>
        <v>9100</v>
      </c>
    </row>
    <row r="296" spans="1:10" ht="15" customHeight="1">
      <c r="A296" s="98"/>
      <c r="B296" s="117" t="s">
        <v>797</v>
      </c>
      <c r="C296" s="102"/>
      <c r="D296" s="102"/>
      <c r="E296" s="102">
        <v>10600</v>
      </c>
      <c r="F296" s="102"/>
      <c r="G296" s="102"/>
      <c r="H296" s="210">
        <f t="shared" si="13"/>
        <v>10600</v>
      </c>
      <c r="I296" s="86"/>
      <c r="J296" s="219">
        <f t="shared" si="14"/>
        <v>10600</v>
      </c>
    </row>
    <row r="297" spans="1:10" ht="15" customHeight="1">
      <c r="A297" s="98"/>
      <c r="B297" s="117" t="s">
        <v>774</v>
      </c>
      <c r="C297" s="102"/>
      <c r="D297" s="102"/>
      <c r="E297" s="102">
        <v>12000</v>
      </c>
      <c r="F297" s="102"/>
      <c r="G297" s="102"/>
      <c r="H297" s="210">
        <f t="shared" si="13"/>
        <v>12000</v>
      </c>
      <c r="I297" s="86"/>
      <c r="J297" s="219">
        <f t="shared" si="14"/>
        <v>12000</v>
      </c>
    </row>
    <row r="298" spans="1:10" ht="34.5" customHeight="1">
      <c r="A298" s="98"/>
      <c r="B298" s="117" t="s">
        <v>5</v>
      </c>
      <c r="C298" s="102"/>
      <c r="D298" s="102"/>
      <c r="E298" s="102">
        <v>600</v>
      </c>
      <c r="F298" s="102"/>
      <c r="G298" s="102"/>
      <c r="H298" s="210">
        <f t="shared" si="13"/>
        <v>600</v>
      </c>
      <c r="I298" s="86"/>
      <c r="J298" s="219">
        <f t="shared" si="14"/>
        <v>600</v>
      </c>
    </row>
    <row r="299" spans="1:10" ht="20.25" customHeight="1">
      <c r="A299" s="98"/>
      <c r="B299" s="119" t="s">
        <v>93</v>
      </c>
      <c r="C299" s="102"/>
      <c r="D299" s="102"/>
      <c r="E299" s="95">
        <v>700</v>
      </c>
      <c r="F299" s="102"/>
      <c r="G299" s="102"/>
      <c r="H299" s="210">
        <f t="shared" si="13"/>
        <v>700</v>
      </c>
      <c r="I299" s="86"/>
      <c r="J299" s="219">
        <f t="shared" si="14"/>
        <v>700</v>
      </c>
    </row>
    <row r="300" spans="1:10" ht="20.25" customHeight="1">
      <c r="A300" s="98"/>
      <c r="B300" s="119" t="s">
        <v>156</v>
      </c>
      <c r="C300" s="102"/>
      <c r="D300" s="102"/>
      <c r="E300" s="95">
        <v>70</v>
      </c>
      <c r="F300" s="102"/>
      <c r="G300" s="102"/>
      <c r="H300" s="210">
        <f t="shared" si="13"/>
        <v>70</v>
      </c>
      <c r="I300" s="86"/>
      <c r="J300" s="219">
        <f t="shared" si="14"/>
        <v>70</v>
      </c>
    </row>
    <row r="301" spans="1:10" ht="36" customHeight="1">
      <c r="A301" s="98"/>
      <c r="B301" s="117" t="s">
        <v>309</v>
      </c>
      <c r="C301" s="102"/>
      <c r="D301" s="102"/>
      <c r="E301" s="95">
        <v>450</v>
      </c>
      <c r="F301" s="102"/>
      <c r="G301" s="102"/>
      <c r="H301" s="210"/>
      <c r="I301" s="86"/>
      <c r="J301" s="219">
        <f t="shared" si="14"/>
        <v>0</v>
      </c>
    </row>
    <row r="302" spans="1:10" ht="32.25" customHeight="1">
      <c r="A302" s="98"/>
      <c r="B302" s="117" t="s">
        <v>800</v>
      </c>
      <c r="C302" s="102"/>
      <c r="D302" s="102"/>
      <c r="E302" s="95">
        <v>2280</v>
      </c>
      <c r="F302" s="102"/>
      <c r="G302" s="102"/>
      <c r="H302" s="210">
        <f t="shared" si="15" ref="H302:H333">E302</f>
        <v>2280</v>
      </c>
      <c r="I302" s="86"/>
      <c r="J302" s="219">
        <f t="shared" si="14"/>
        <v>2280</v>
      </c>
    </row>
    <row r="303" spans="1:10" ht="30.75" customHeight="1">
      <c r="A303" s="98"/>
      <c r="B303" s="117" t="s">
        <v>801</v>
      </c>
      <c r="C303" s="102"/>
      <c r="D303" s="102"/>
      <c r="E303" s="102">
        <v>56675</v>
      </c>
      <c r="F303" s="102"/>
      <c r="G303" s="102"/>
      <c r="H303" s="210">
        <f t="shared" si="15"/>
        <v>56675</v>
      </c>
      <c r="I303" s="86"/>
      <c r="J303" s="219">
        <f t="shared" si="14"/>
        <v>56675</v>
      </c>
    </row>
    <row r="304" spans="1:10" ht="25.15" customHeight="1">
      <c r="A304" s="98"/>
      <c r="B304" s="117" t="s">
        <v>757</v>
      </c>
      <c r="C304" s="102"/>
      <c r="D304" s="102"/>
      <c r="E304" s="102">
        <v>2850</v>
      </c>
      <c r="F304" s="102"/>
      <c r="G304" s="102"/>
      <c r="H304" s="210">
        <f t="shared" si="15"/>
        <v>2850</v>
      </c>
      <c r="I304" s="86"/>
      <c r="J304" s="219">
        <f t="shared" si="14"/>
        <v>2850</v>
      </c>
    </row>
    <row r="305" spans="1:10" ht="29.25" customHeight="1">
      <c r="A305" s="98"/>
      <c r="B305" s="117" t="s">
        <v>802</v>
      </c>
      <c r="C305" s="102"/>
      <c r="D305" s="102"/>
      <c r="E305" s="102">
        <v>2590</v>
      </c>
      <c r="F305" s="102"/>
      <c r="G305" s="102"/>
      <c r="H305" s="210">
        <f t="shared" si="15"/>
        <v>2590</v>
      </c>
      <c r="I305" s="86"/>
      <c r="J305" s="219">
        <f t="shared" si="14"/>
        <v>2590</v>
      </c>
    </row>
    <row r="306" spans="1:10" ht="15.75" customHeight="1">
      <c r="A306" s="98"/>
      <c r="B306" s="117" t="s">
        <v>779</v>
      </c>
      <c r="C306" s="102"/>
      <c r="D306" s="102"/>
      <c r="E306" s="102">
        <v>10804</v>
      </c>
      <c r="F306" s="102"/>
      <c r="G306" s="102"/>
      <c r="H306" s="210">
        <f t="shared" si="15"/>
        <v>10804</v>
      </c>
      <c r="I306" s="86"/>
      <c r="J306" s="219">
        <f t="shared" si="14"/>
        <v>10804</v>
      </c>
    </row>
    <row r="307" spans="1:10" ht="15" customHeight="1">
      <c r="A307" s="98"/>
      <c r="B307" s="117" t="s">
        <v>803</v>
      </c>
      <c r="C307" s="102"/>
      <c r="D307" s="102"/>
      <c r="E307" s="102">
        <v>1200</v>
      </c>
      <c r="F307" s="102"/>
      <c r="G307" s="102"/>
      <c r="H307" s="210">
        <f t="shared" si="15"/>
        <v>1200</v>
      </c>
      <c r="I307" s="86"/>
      <c r="J307" s="219">
        <f t="shared" si="14"/>
        <v>1200</v>
      </c>
    </row>
    <row r="308" spans="1:10" ht="15" customHeight="1">
      <c r="A308" s="98"/>
      <c r="B308" s="117" t="s">
        <v>125</v>
      </c>
      <c r="C308" s="102"/>
      <c r="D308" s="102"/>
      <c r="E308" s="102">
        <v>900</v>
      </c>
      <c r="F308" s="102"/>
      <c r="G308" s="102"/>
      <c r="H308" s="210">
        <f t="shared" si="15"/>
        <v>900</v>
      </c>
      <c r="I308" s="86"/>
      <c r="J308" s="219">
        <f t="shared" si="14"/>
        <v>900</v>
      </c>
    </row>
    <row r="309" spans="1:10" ht="15" customHeight="1">
      <c r="A309" s="98"/>
      <c r="B309" s="117" t="s">
        <v>566</v>
      </c>
      <c r="C309" s="102"/>
      <c r="D309" s="102"/>
      <c r="E309" s="102">
        <v>35161</v>
      </c>
      <c r="F309" s="102" t="s">
        <v>567</v>
      </c>
      <c r="G309" s="102"/>
      <c r="H309" s="210">
        <f t="shared" si="15"/>
        <v>35161</v>
      </c>
      <c r="I309" s="86"/>
      <c r="J309" s="219">
        <f t="shared" si="14"/>
        <v>35161</v>
      </c>
    </row>
    <row r="310" spans="1:10" ht="15" customHeight="1">
      <c r="A310" s="98"/>
      <c r="B310" s="117" t="s">
        <v>568</v>
      </c>
      <c r="C310" s="102"/>
      <c r="D310" s="102"/>
      <c r="E310" s="102">
        <v>21857</v>
      </c>
      <c r="F310" s="102" t="s">
        <v>567</v>
      </c>
      <c r="G310" s="102"/>
      <c r="H310" s="210">
        <f t="shared" si="15"/>
        <v>21857</v>
      </c>
      <c r="I310" s="86"/>
      <c r="J310" s="219">
        <f t="shared" si="14"/>
        <v>21857</v>
      </c>
    </row>
    <row r="311" spans="1:10" ht="15" customHeight="1">
      <c r="A311" s="98"/>
      <c r="B311" s="117" t="s">
        <v>569</v>
      </c>
      <c r="C311" s="102"/>
      <c r="D311" s="102"/>
      <c r="E311" s="102">
        <v>9000</v>
      </c>
      <c r="F311" s="102"/>
      <c r="G311" s="102"/>
      <c r="H311" s="210">
        <f t="shared" si="15"/>
        <v>9000</v>
      </c>
      <c r="I311" s="86"/>
      <c r="J311" s="219">
        <f t="shared" si="14"/>
        <v>9000</v>
      </c>
    </row>
    <row r="312" spans="1:10" ht="15" customHeight="1">
      <c r="A312" s="98"/>
      <c r="B312" s="117" t="s">
        <v>570</v>
      </c>
      <c r="C312" s="102"/>
      <c r="D312" s="102"/>
      <c r="E312" s="102">
        <v>69000</v>
      </c>
      <c r="F312" s="102"/>
      <c r="G312" s="102"/>
      <c r="H312" s="210">
        <f t="shared" si="15"/>
        <v>69000</v>
      </c>
      <c r="I312" s="86"/>
      <c r="J312" s="219">
        <f t="shared" si="14"/>
        <v>69000</v>
      </c>
    </row>
    <row r="313" spans="1:10" ht="15" customHeight="1">
      <c r="A313" s="98"/>
      <c r="B313" s="117" t="s">
        <v>339</v>
      </c>
      <c r="C313" s="102"/>
      <c r="D313" s="102"/>
      <c r="E313" s="102">
        <v>13500</v>
      </c>
      <c r="F313" s="102"/>
      <c r="G313" s="102"/>
      <c r="H313" s="210">
        <f t="shared" si="15"/>
        <v>13500</v>
      </c>
      <c r="I313" s="86"/>
      <c r="J313" s="219">
        <f t="shared" si="14"/>
        <v>13500</v>
      </c>
    </row>
    <row r="314" spans="1:10" ht="15" customHeight="1">
      <c r="A314" s="98"/>
      <c r="B314" s="117" t="s">
        <v>258</v>
      </c>
      <c r="C314" s="102"/>
      <c r="D314" s="102"/>
      <c r="E314" s="102">
        <v>28967</v>
      </c>
      <c r="F314" s="102"/>
      <c r="G314" s="102"/>
      <c r="H314" s="210">
        <f t="shared" si="15"/>
        <v>28967</v>
      </c>
      <c r="I314" s="86"/>
      <c r="J314" s="219">
        <f t="shared" si="14"/>
        <v>28967</v>
      </c>
    </row>
    <row r="315" spans="1:10" ht="15" customHeight="1">
      <c r="A315" s="98"/>
      <c r="B315" s="117" t="s">
        <v>571</v>
      </c>
      <c r="C315" s="102"/>
      <c r="D315" s="102"/>
      <c r="E315" s="102">
        <v>59000</v>
      </c>
      <c r="F315" s="102"/>
      <c r="G315" s="102"/>
      <c r="H315" s="210">
        <f t="shared" si="15"/>
        <v>59000</v>
      </c>
      <c r="I315" s="86"/>
      <c r="J315" s="219">
        <f t="shared" si="14"/>
        <v>59000</v>
      </c>
    </row>
    <row r="316" spans="1:10" ht="15" customHeight="1">
      <c r="A316" s="98"/>
      <c r="B316" s="117" t="s">
        <v>572</v>
      </c>
      <c r="C316" s="102"/>
      <c r="D316" s="102"/>
      <c r="E316" s="102">
        <v>2840</v>
      </c>
      <c r="F316" s="102"/>
      <c r="G316" s="102"/>
      <c r="H316" s="210">
        <f t="shared" si="15"/>
        <v>2840</v>
      </c>
      <c r="I316" s="86"/>
      <c r="J316" s="219">
        <f t="shared" si="14"/>
        <v>2840</v>
      </c>
    </row>
    <row r="317" spans="1:10" ht="15" customHeight="1">
      <c r="A317" s="98"/>
      <c r="B317" s="117" t="s">
        <v>573</v>
      </c>
      <c r="C317" s="102"/>
      <c r="D317" s="102"/>
      <c r="E317" s="102">
        <v>11605</v>
      </c>
      <c r="F317" s="102"/>
      <c r="G317" s="102"/>
      <c r="H317" s="210">
        <f t="shared" si="15"/>
        <v>11605</v>
      </c>
      <c r="I317" s="86"/>
      <c r="J317" s="219">
        <f t="shared" si="14"/>
        <v>11605</v>
      </c>
    </row>
    <row r="318" spans="1:10" ht="15" customHeight="1">
      <c r="A318" s="98"/>
      <c r="B318" s="117" t="s">
        <v>712</v>
      </c>
      <c r="C318" s="102"/>
      <c r="D318" s="102"/>
      <c r="E318" s="95">
        <v>2500</v>
      </c>
      <c r="F318" s="102"/>
      <c r="G318" s="102"/>
      <c r="H318" s="210">
        <f t="shared" si="15"/>
        <v>2500</v>
      </c>
      <c r="I318" s="86"/>
      <c r="J318" s="219">
        <f t="shared" si="14"/>
        <v>2500</v>
      </c>
    </row>
    <row r="319" spans="1:10" ht="15" customHeight="1">
      <c r="A319" s="98"/>
      <c r="B319" s="117" t="s">
        <v>574</v>
      </c>
      <c r="C319" s="102"/>
      <c r="D319" s="102"/>
      <c r="E319" s="102">
        <v>4268</v>
      </c>
      <c r="F319" s="102"/>
      <c r="G319" s="102"/>
      <c r="H319" s="210">
        <f t="shared" si="15"/>
        <v>4268</v>
      </c>
      <c r="I319" s="86"/>
      <c r="J319" s="219">
        <f t="shared" si="14"/>
        <v>4268</v>
      </c>
    </row>
    <row r="320" spans="1:10" ht="15" customHeight="1">
      <c r="A320" s="98"/>
      <c r="B320" s="117" t="s">
        <v>713</v>
      </c>
      <c r="C320" s="102"/>
      <c r="D320" s="102"/>
      <c r="E320" s="102">
        <v>2391</v>
      </c>
      <c r="F320" s="102"/>
      <c r="G320" s="102"/>
      <c r="H320" s="210">
        <f t="shared" si="15"/>
        <v>2391</v>
      </c>
      <c r="I320" s="86"/>
      <c r="J320" s="219">
        <f t="shared" si="14"/>
        <v>2391</v>
      </c>
    </row>
    <row r="321" spans="1:10" ht="15" customHeight="1">
      <c r="A321" s="98"/>
      <c r="B321" s="117" t="s">
        <v>575</v>
      </c>
      <c r="C321" s="102"/>
      <c r="D321" s="102"/>
      <c r="E321" s="102">
        <v>4516</v>
      </c>
      <c r="F321" s="102"/>
      <c r="G321" s="102"/>
      <c r="H321" s="210">
        <f t="shared" si="15"/>
        <v>4516</v>
      </c>
      <c r="I321" s="86"/>
      <c r="J321" s="219">
        <f t="shared" si="14"/>
        <v>4516</v>
      </c>
    </row>
    <row r="322" spans="1:10" ht="15" customHeight="1">
      <c r="A322" s="98"/>
      <c r="B322" s="117" t="s">
        <v>576</v>
      </c>
      <c r="C322" s="102"/>
      <c r="D322" s="102"/>
      <c r="E322" s="102">
        <v>5348</v>
      </c>
      <c r="F322" s="102"/>
      <c r="G322" s="102"/>
      <c r="H322" s="210">
        <f t="shared" si="15"/>
        <v>5348</v>
      </c>
      <c r="I322" s="86"/>
      <c r="J322" s="219">
        <f t="shared" si="14"/>
        <v>5348</v>
      </c>
    </row>
    <row r="323" spans="1:10" ht="15" customHeight="1">
      <c r="A323" s="98"/>
      <c r="B323" s="117" t="s">
        <v>577</v>
      </c>
      <c r="C323" s="102"/>
      <c r="D323" s="102"/>
      <c r="E323" s="102">
        <v>5000</v>
      </c>
      <c r="F323" s="102"/>
      <c r="G323" s="102"/>
      <c r="H323" s="210">
        <f t="shared" si="15"/>
        <v>5000</v>
      </c>
      <c r="I323" s="86"/>
      <c r="J323" s="219">
        <f t="shared" si="14"/>
        <v>5000</v>
      </c>
    </row>
    <row r="324" spans="1:10" ht="15" customHeight="1">
      <c r="A324" s="98"/>
      <c r="B324" s="117" t="s">
        <v>578</v>
      </c>
      <c r="C324" s="102"/>
      <c r="D324" s="102"/>
      <c r="E324" s="102">
        <v>3422</v>
      </c>
      <c r="F324" s="102"/>
      <c r="G324" s="102"/>
      <c r="H324" s="210">
        <f t="shared" si="15"/>
        <v>3422</v>
      </c>
      <c r="I324" s="86"/>
      <c r="J324" s="219">
        <f t="shared" si="14"/>
        <v>3422</v>
      </c>
    </row>
    <row r="325" spans="1:10" ht="15" customHeight="1">
      <c r="A325" s="98"/>
      <c r="B325" s="117" t="s">
        <v>714</v>
      </c>
      <c r="C325" s="102"/>
      <c r="D325" s="102"/>
      <c r="E325" s="102">
        <v>3193</v>
      </c>
      <c r="F325" s="102"/>
      <c r="G325" s="102"/>
      <c r="H325" s="210">
        <f t="shared" si="15"/>
        <v>3193</v>
      </c>
      <c r="I325" s="86"/>
      <c r="J325" s="219">
        <f t="shared" si="14"/>
        <v>3193</v>
      </c>
    </row>
    <row r="326" spans="1:10" ht="15" customHeight="1">
      <c r="A326" s="98"/>
      <c r="B326" s="117" t="s">
        <v>108</v>
      </c>
      <c r="C326" s="102"/>
      <c r="D326" s="102"/>
      <c r="E326" s="102">
        <v>7036</v>
      </c>
      <c r="F326" s="102"/>
      <c r="G326" s="102"/>
      <c r="H326" s="210">
        <f t="shared" si="15"/>
        <v>7036</v>
      </c>
      <c r="I326" s="86"/>
      <c r="J326" s="219">
        <f t="shared" si="14"/>
        <v>7036</v>
      </c>
    </row>
    <row r="327" spans="1:10" ht="15.75" customHeight="1">
      <c r="A327" s="98"/>
      <c r="B327" s="117" t="s">
        <v>113</v>
      </c>
      <c r="C327" s="102"/>
      <c r="D327" s="102"/>
      <c r="E327" s="102">
        <v>2127</v>
      </c>
      <c r="F327" s="102"/>
      <c r="G327" s="102"/>
      <c r="H327" s="210">
        <f t="shared" si="15"/>
        <v>2127</v>
      </c>
      <c r="I327" s="86"/>
      <c r="J327" s="219">
        <f t="shared" si="14"/>
        <v>2127</v>
      </c>
    </row>
    <row r="328" spans="1:10" ht="19.5" customHeight="1">
      <c r="A328" s="98"/>
      <c r="B328" s="117" t="s">
        <v>112</v>
      </c>
      <c r="C328" s="102"/>
      <c r="D328" s="102"/>
      <c r="E328" s="102">
        <v>2977</v>
      </c>
      <c r="F328" s="102"/>
      <c r="G328" s="102"/>
      <c r="H328" s="210">
        <f t="shared" si="15"/>
        <v>2977</v>
      </c>
      <c r="I328" s="86"/>
      <c r="J328" s="219">
        <f t="shared" si="14"/>
        <v>2977</v>
      </c>
    </row>
    <row r="329" spans="1:10" ht="18" customHeight="1">
      <c r="A329" s="98"/>
      <c r="B329" s="117" t="s">
        <v>579</v>
      </c>
      <c r="C329" s="102"/>
      <c r="D329" s="102"/>
      <c r="E329" s="102">
        <v>6650</v>
      </c>
      <c r="F329" s="102"/>
      <c r="G329" s="102"/>
      <c r="H329" s="210">
        <f t="shared" si="15"/>
        <v>6650</v>
      </c>
      <c r="I329" s="86"/>
      <c r="J329" s="219">
        <f t="shared" si="14"/>
        <v>6650</v>
      </c>
    </row>
    <row r="330" spans="1:10" ht="30" customHeight="1">
      <c r="A330" s="98"/>
      <c r="B330" s="117" t="s">
        <v>259</v>
      </c>
      <c r="C330" s="102"/>
      <c r="D330" s="102"/>
      <c r="E330" s="102">
        <v>6463</v>
      </c>
      <c r="F330" s="102"/>
      <c r="G330" s="102"/>
      <c r="H330" s="210">
        <f t="shared" si="15"/>
        <v>6463</v>
      </c>
      <c r="I330" s="86"/>
      <c r="J330" s="219">
        <f t="shared" si="14"/>
        <v>6463</v>
      </c>
    </row>
    <row r="331" spans="1:10" ht="30" customHeight="1">
      <c r="A331" s="98"/>
      <c r="B331" s="117" t="s">
        <v>715</v>
      </c>
      <c r="C331" s="102"/>
      <c r="D331" s="102"/>
      <c r="E331" s="102">
        <v>4189</v>
      </c>
      <c r="F331" s="102"/>
      <c r="G331" s="102"/>
      <c r="H331" s="210">
        <f t="shared" si="15"/>
        <v>4189</v>
      </c>
      <c r="I331" s="86"/>
      <c r="J331" s="219">
        <f t="shared" si="14"/>
        <v>4189</v>
      </c>
    </row>
    <row r="332" spans="1:10" ht="30" customHeight="1">
      <c r="A332" s="98"/>
      <c r="B332" s="117" t="s">
        <v>110</v>
      </c>
      <c r="C332" s="102"/>
      <c r="D332" s="102"/>
      <c r="E332" s="102">
        <v>3605</v>
      </c>
      <c r="F332" s="102"/>
      <c r="G332" s="102"/>
      <c r="H332" s="210">
        <f t="shared" si="15"/>
        <v>3605</v>
      </c>
      <c r="I332" s="86"/>
      <c r="J332" s="219">
        <f t="shared" si="14"/>
        <v>3605</v>
      </c>
    </row>
    <row r="333" spans="1:10" ht="30" customHeight="1">
      <c r="A333" s="98"/>
      <c r="B333" s="117" t="s">
        <v>580</v>
      </c>
      <c r="C333" s="102"/>
      <c r="D333" s="102"/>
      <c r="E333" s="102">
        <v>2400</v>
      </c>
      <c r="F333" s="102"/>
      <c r="G333" s="102"/>
      <c r="H333" s="210">
        <f t="shared" si="15"/>
        <v>2400</v>
      </c>
      <c r="I333" s="86"/>
      <c r="J333" s="219">
        <f t="shared" si="14"/>
        <v>2400</v>
      </c>
    </row>
    <row r="334" spans="1:10" ht="30" customHeight="1">
      <c r="A334" s="98"/>
      <c r="B334" s="117" t="s">
        <v>105</v>
      </c>
      <c r="C334" s="102"/>
      <c r="D334" s="102"/>
      <c r="E334" s="102">
        <v>15900</v>
      </c>
      <c r="F334" s="102"/>
      <c r="G334" s="102"/>
      <c r="H334" s="210">
        <f t="shared" si="16" ref="H334:H365">E334</f>
        <v>15900</v>
      </c>
      <c r="I334" s="86"/>
      <c r="J334" s="219">
        <f t="shared" si="17" ref="J334:J397">H334+I334</f>
        <v>15900</v>
      </c>
    </row>
    <row r="335" spans="1:10" ht="30" customHeight="1">
      <c r="A335" s="98"/>
      <c r="B335" s="117" t="s">
        <v>716</v>
      </c>
      <c r="C335" s="102"/>
      <c r="D335" s="102"/>
      <c r="E335" s="102">
        <v>2560</v>
      </c>
      <c r="F335" s="102"/>
      <c r="G335" s="102"/>
      <c r="H335" s="210">
        <f t="shared" si="16"/>
        <v>2560</v>
      </c>
      <c r="I335" s="86"/>
      <c r="J335" s="219">
        <f t="shared" si="17"/>
        <v>2560</v>
      </c>
    </row>
    <row r="336" spans="1:10" ht="30" customHeight="1">
      <c r="A336" s="98"/>
      <c r="B336" s="117" t="s">
        <v>581</v>
      </c>
      <c r="C336" s="102"/>
      <c r="D336" s="102"/>
      <c r="E336" s="102">
        <v>8308</v>
      </c>
      <c r="F336" s="102"/>
      <c r="G336" s="102"/>
      <c r="H336" s="210">
        <f t="shared" si="16"/>
        <v>8308</v>
      </c>
      <c r="I336" s="86"/>
      <c r="J336" s="219">
        <f t="shared" si="17"/>
        <v>8308</v>
      </c>
    </row>
    <row r="337" spans="1:10" ht="30" customHeight="1">
      <c r="A337" s="98"/>
      <c r="B337" s="117" t="s">
        <v>582</v>
      </c>
      <c r="C337" s="102"/>
      <c r="D337" s="102"/>
      <c r="E337" s="102">
        <v>7712</v>
      </c>
      <c r="F337" s="102"/>
      <c r="G337" s="102"/>
      <c r="H337" s="210">
        <f t="shared" si="16"/>
        <v>7712</v>
      </c>
      <c r="I337" s="86"/>
      <c r="J337" s="219">
        <f t="shared" si="17"/>
        <v>7712</v>
      </c>
    </row>
    <row r="338" spans="1:10" ht="30" customHeight="1">
      <c r="A338" s="98"/>
      <c r="B338" s="117" t="s">
        <v>717</v>
      </c>
      <c r="C338" s="102"/>
      <c r="D338" s="102"/>
      <c r="E338" s="95">
        <v>2845</v>
      </c>
      <c r="F338" s="102"/>
      <c r="G338" s="102"/>
      <c r="H338" s="210">
        <f t="shared" si="16"/>
        <v>2845</v>
      </c>
      <c r="I338" s="86"/>
      <c r="J338" s="219">
        <f t="shared" si="17"/>
        <v>2845</v>
      </c>
    </row>
    <row r="339" spans="1:10" ht="30" customHeight="1">
      <c r="A339" s="98"/>
      <c r="B339" s="117" t="s">
        <v>583</v>
      </c>
      <c r="C339" s="102"/>
      <c r="D339" s="102"/>
      <c r="E339" s="102">
        <v>4230</v>
      </c>
      <c r="F339" s="102"/>
      <c r="G339" s="102"/>
      <c r="H339" s="210">
        <f t="shared" si="16"/>
        <v>4230</v>
      </c>
      <c r="I339" s="86"/>
      <c r="J339" s="219">
        <f t="shared" si="17"/>
        <v>4230</v>
      </c>
    </row>
    <row r="340" spans="1:10" ht="30" customHeight="1">
      <c r="A340" s="98"/>
      <c r="B340" s="117" t="s">
        <v>718</v>
      </c>
      <c r="C340" s="102"/>
      <c r="D340" s="102"/>
      <c r="E340" s="102">
        <v>3572</v>
      </c>
      <c r="F340" s="102"/>
      <c r="G340" s="102"/>
      <c r="H340" s="210">
        <f t="shared" si="16"/>
        <v>3572</v>
      </c>
      <c r="I340" s="86"/>
      <c r="J340" s="219">
        <f t="shared" si="17"/>
        <v>3572</v>
      </c>
    </row>
    <row r="341" spans="1:10" ht="30" customHeight="1">
      <c r="A341" s="98"/>
      <c r="B341" s="117" t="s">
        <v>584</v>
      </c>
      <c r="C341" s="102"/>
      <c r="D341" s="102"/>
      <c r="E341" s="102">
        <v>6752</v>
      </c>
      <c r="F341" s="102"/>
      <c r="G341" s="102"/>
      <c r="H341" s="210">
        <f t="shared" si="16"/>
        <v>6752</v>
      </c>
      <c r="I341" s="86"/>
      <c r="J341" s="219">
        <f t="shared" si="17"/>
        <v>6752</v>
      </c>
    </row>
    <row r="342" spans="1:10" ht="30" customHeight="1">
      <c r="A342" s="98"/>
      <c r="B342" s="117" t="s">
        <v>585</v>
      </c>
      <c r="C342" s="102"/>
      <c r="D342" s="102"/>
      <c r="E342" s="102">
        <v>4700</v>
      </c>
      <c r="F342" s="102"/>
      <c r="G342" s="102"/>
      <c r="H342" s="210">
        <f t="shared" si="16"/>
        <v>4700</v>
      </c>
      <c r="I342" s="86"/>
      <c r="J342" s="219">
        <f t="shared" si="17"/>
        <v>4700</v>
      </c>
    </row>
    <row r="343" spans="1:10" ht="30" customHeight="1">
      <c r="A343" s="98"/>
      <c r="B343" s="117" t="s">
        <v>586</v>
      </c>
      <c r="C343" s="102"/>
      <c r="D343" s="102"/>
      <c r="E343" s="102">
        <v>2718</v>
      </c>
      <c r="F343" s="102"/>
      <c r="G343" s="102"/>
      <c r="H343" s="210">
        <f t="shared" si="16"/>
        <v>2718</v>
      </c>
      <c r="I343" s="86"/>
      <c r="J343" s="219">
        <f t="shared" si="17"/>
        <v>2718</v>
      </c>
    </row>
    <row r="344" spans="1:10" ht="30" customHeight="1">
      <c r="A344" s="98"/>
      <c r="B344" s="117" t="s">
        <v>587</v>
      </c>
      <c r="C344" s="102"/>
      <c r="D344" s="102"/>
      <c r="E344" s="102">
        <v>8550</v>
      </c>
      <c r="F344" s="102"/>
      <c r="G344" s="102"/>
      <c r="H344" s="210">
        <f t="shared" si="16"/>
        <v>8550</v>
      </c>
      <c r="I344" s="86"/>
      <c r="J344" s="219">
        <f t="shared" si="17"/>
        <v>8550</v>
      </c>
    </row>
    <row r="345" spans="1:10" ht="30" customHeight="1">
      <c r="A345" s="98"/>
      <c r="B345" s="117" t="s">
        <v>719</v>
      </c>
      <c r="C345" s="102"/>
      <c r="D345" s="102"/>
      <c r="E345" s="102">
        <v>1270</v>
      </c>
      <c r="F345" s="102"/>
      <c r="G345" s="102"/>
      <c r="H345" s="210">
        <f t="shared" si="16"/>
        <v>1270</v>
      </c>
      <c r="I345" s="86"/>
      <c r="J345" s="219">
        <f t="shared" si="17"/>
        <v>1270</v>
      </c>
    </row>
    <row r="346" spans="1:10" ht="15" customHeight="1">
      <c r="A346" s="98"/>
      <c r="B346" s="117" t="s">
        <v>588</v>
      </c>
      <c r="C346" s="102"/>
      <c r="D346" s="102"/>
      <c r="E346" s="102">
        <v>6780</v>
      </c>
      <c r="F346" s="102"/>
      <c r="G346" s="102"/>
      <c r="H346" s="210">
        <f t="shared" si="16"/>
        <v>6780</v>
      </c>
      <c r="I346" s="86"/>
      <c r="J346" s="219">
        <f t="shared" si="17"/>
        <v>6780</v>
      </c>
    </row>
    <row r="347" spans="1:11" s="88" customFormat="1" ht="15" customHeight="1">
      <c r="A347" s="98"/>
      <c r="B347" s="117" t="s">
        <v>589</v>
      </c>
      <c r="C347" s="102"/>
      <c r="D347" s="102"/>
      <c r="E347" s="102">
        <v>1010</v>
      </c>
      <c r="F347" s="102"/>
      <c r="G347" s="102"/>
      <c r="H347" s="210">
        <f t="shared" si="16"/>
        <v>1010</v>
      </c>
      <c r="I347" s="86"/>
      <c r="J347" s="219">
        <f t="shared" si="17"/>
        <v>1010</v>
      </c>
      <c r="K347" s="76"/>
    </row>
    <row r="348" spans="1:11" ht="15" customHeight="1">
      <c r="A348" s="98"/>
      <c r="B348" s="117" t="s">
        <v>593</v>
      </c>
      <c r="C348" s="102"/>
      <c r="D348" s="102"/>
      <c r="E348" s="102">
        <v>6273</v>
      </c>
      <c r="F348" s="102"/>
      <c r="G348" s="102"/>
      <c r="H348" s="210">
        <f t="shared" si="16"/>
        <v>6273</v>
      </c>
      <c r="I348" s="86"/>
      <c r="J348" s="219">
        <f t="shared" si="17"/>
        <v>6273</v>
      </c>
      <c r="K348" s="88"/>
    </row>
    <row r="349" spans="1:10" ht="15" customHeight="1">
      <c r="A349" s="98"/>
      <c r="B349" s="117" t="s">
        <v>590</v>
      </c>
      <c r="C349" s="102"/>
      <c r="D349" s="102"/>
      <c r="E349" s="102">
        <v>4286</v>
      </c>
      <c r="F349" s="102"/>
      <c r="G349" s="102"/>
      <c r="H349" s="210">
        <f t="shared" si="16"/>
        <v>4286</v>
      </c>
      <c r="I349" s="86"/>
      <c r="J349" s="219">
        <f t="shared" si="17"/>
        <v>4286</v>
      </c>
    </row>
    <row r="350" spans="1:10" ht="15" customHeight="1">
      <c r="A350" s="98"/>
      <c r="B350" s="117" t="s">
        <v>591</v>
      </c>
      <c r="C350" s="102"/>
      <c r="D350" s="102"/>
      <c r="E350" s="102">
        <v>720</v>
      </c>
      <c r="F350" s="102"/>
      <c r="G350" s="102"/>
      <c r="H350" s="210">
        <f t="shared" si="16"/>
        <v>720</v>
      </c>
      <c r="I350" s="86"/>
      <c r="J350" s="219">
        <f t="shared" si="17"/>
        <v>720</v>
      </c>
    </row>
    <row r="351" spans="1:10" ht="15" customHeight="1">
      <c r="A351" s="98"/>
      <c r="B351" s="117" t="s">
        <v>592</v>
      </c>
      <c r="C351" s="102"/>
      <c r="D351" s="102"/>
      <c r="E351" s="102">
        <v>2000</v>
      </c>
      <c r="F351" s="102"/>
      <c r="G351" s="102"/>
      <c r="H351" s="210">
        <f t="shared" si="16"/>
        <v>2000</v>
      </c>
      <c r="I351" s="86"/>
      <c r="J351" s="219">
        <f t="shared" si="17"/>
        <v>2000</v>
      </c>
    </row>
    <row r="352" spans="1:10" ht="15" customHeight="1">
      <c r="A352" s="98"/>
      <c r="B352" s="117" t="s">
        <v>536</v>
      </c>
      <c r="C352" s="102"/>
      <c r="D352" s="102"/>
      <c r="E352" s="102">
        <v>17550</v>
      </c>
      <c r="F352" s="102"/>
      <c r="G352" s="102"/>
      <c r="H352" s="210">
        <f t="shared" si="16"/>
        <v>17550</v>
      </c>
      <c r="I352" s="86"/>
      <c r="J352" s="219">
        <f t="shared" si="17"/>
        <v>17550</v>
      </c>
    </row>
    <row r="353" spans="1:10" ht="15" customHeight="1">
      <c r="A353" s="98"/>
      <c r="B353" s="117" t="s">
        <v>720</v>
      </c>
      <c r="C353" s="102"/>
      <c r="D353" s="102"/>
      <c r="E353" s="102">
        <v>6665</v>
      </c>
      <c r="F353" s="102"/>
      <c r="G353" s="102"/>
      <c r="H353" s="210">
        <f t="shared" si="16"/>
        <v>6665</v>
      </c>
      <c r="I353" s="86"/>
      <c r="J353" s="219">
        <f t="shared" si="17"/>
        <v>6665</v>
      </c>
    </row>
    <row r="354" spans="1:10" ht="15" customHeight="1">
      <c r="A354" s="98"/>
      <c r="B354" s="117" t="s">
        <v>594</v>
      </c>
      <c r="C354" s="102"/>
      <c r="D354" s="102"/>
      <c r="E354" s="102">
        <v>7985</v>
      </c>
      <c r="F354" s="102"/>
      <c r="G354" s="102"/>
      <c r="H354" s="210">
        <f t="shared" si="16"/>
        <v>7985</v>
      </c>
      <c r="I354" s="86"/>
      <c r="J354" s="219">
        <f t="shared" si="17"/>
        <v>7985</v>
      </c>
    </row>
    <row r="355" spans="1:10" ht="15" customHeight="1">
      <c r="A355" s="98"/>
      <c r="B355" s="117" t="s">
        <v>595</v>
      </c>
      <c r="C355" s="102"/>
      <c r="D355" s="102"/>
      <c r="E355" s="102">
        <v>3510</v>
      </c>
      <c r="F355" s="102"/>
      <c r="G355" s="102"/>
      <c r="H355" s="210">
        <f t="shared" si="16"/>
        <v>3510</v>
      </c>
      <c r="I355" s="86"/>
      <c r="J355" s="219">
        <f t="shared" si="17"/>
        <v>3510</v>
      </c>
    </row>
    <row r="356" spans="1:10" ht="15" customHeight="1">
      <c r="A356" s="98"/>
      <c r="B356" s="117" t="s">
        <v>122</v>
      </c>
      <c r="C356" s="102"/>
      <c r="D356" s="102"/>
      <c r="E356" s="102">
        <v>7727</v>
      </c>
      <c r="F356" s="102"/>
      <c r="G356" s="102"/>
      <c r="H356" s="210">
        <f t="shared" si="16"/>
        <v>7727</v>
      </c>
      <c r="I356" s="86"/>
      <c r="J356" s="219">
        <f t="shared" si="17"/>
        <v>7727</v>
      </c>
    </row>
    <row r="357" spans="1:10" ht="15" customHeight="1">
      <c r="A357" s="99" t="s">
        <v>596</v>
      </c>
      <c r="B357" s="99" t="s">
        <v>597</v>
      </c>
      <c r="C357" s="101"/>
      <c r="D357" s="101"/>
      <c r="E357" s="101">
        <f>SUM(E358:E365)</f>
        <v>786007</v>
      </c>
      <c r="F357" s="101"/>
      <c r="G357" s="101"/>
      <c r="H357" s="209">
        <f t="shared" si="16"/>
        <v>786007</v>
      </c>
      <c r="I357" s="85"/>
      <c r="J357" s="213">
        <f t="shared" si="17"/>
        <v>786007</v>
      </c>
    </row>
    <row r="358" spans="1:10" ht="15" customHeight="1">
      <c r="A358" s="98"/>
      <c r="B358" s="117" t="s">
        <v>563</v>
      </c>
      <c r="C358" s="102"/>
      <c r="D358" s="102"/>
      <c r="E358" s="95">
        <v>781492</v>
      </c>
      <c r="F358" s="102"/>
      <c r="G358" s="102"/>
      <c r="H358" s="210">
        <f t="shared" si="16"/>
        <v>781492</v>
      </c>
      <c r="I358" s="86"/>
      <c r="J358" s="219">
        <f t="shared" si="17"/>
        <v>781492</v>
      </c>
    </row>
    <row r="359" spans="1:10" ht="15" customHeight="1">
      <c r="A359" s="98"/>
      <c r="B359" s="119" t="s">
        <v>21</v>
      </c>
      <c r="C359" s="102"/>
      <c r="D359" s="102"/>
      <c r="E359" s="95">
        <v>170</v>
      </c>
      <c r="F359" s="102"/>
      <c r="G359" s="102"/>
      <c r="H359" s="210">
        <f t="shared" si="16"/>
        <v>170</v>
      </c>
      <c r="I359" s="86"/>
      <c r="J359" s="219">
        <f t="shared" si="17"/>
        <v>170</v>
      </c>
    </row>
    <row r="360" spans="1:10" ht="15" customHeight="1">
      <c r="A360" s="98"/>
      <c r="B360" s="117" t="s">
        <v>22</v>
      </c>
      <c r="C360" s="102"/>
      <c r="D360" s="102"/>
      <c r="E360" s="95">
        <v>941</v>
      </c>
      <c r="F360" s="102"/>
      <c r="G360" s="102"/>
      <c r="H360" s="210">
        <f t="shared" si="16"/>
        <v>941</v>
      </c>
      <c r="I360" s="86"/>
      <c r="J360" s="219">
        <f t="shared" si="17"/>
        <v>941</v>
      </c>
    </row>
    <row r="361" spans="1:10" ht="15" customHeight="1">
      <c r="A361" s="98"/>
      <c r="B361" s="117" t="s">
        <v>24</v>
      </c>
      <c r="C361" s="102"/>
      <c r="D361" s="102"/>
      <c r="E361" s="95">
        <v>225</v>
      </c>
      <c r="F361" s="102"/>
      <c r="G361" s="102"/>
      <c r="H361" s="210">
        <f t="shared" si="16"/>
        <v>225</v>
      </c>
      <c r="I361" s="86"/>
      <c r="J361" s="219">
        <f t="shared" si="17"/>
        <v>225</v>
      </c>
    </row>
    <row r="362" spans="1:10" ht="15" customHeight="1">
      <c r="A362" s="98"/>
      <c r="B362" s="117" t="s">
        <v>23</v>
      </c>
      <c r="C362" s="102"/>
      <c r="D362" s="102"/>
      <c r="E362" s="95">
        <v>2191</v>
      </c>
      <c r="F362" s="102"/>
      <c r="G362" s="102"/>
      <c r="H362" s="210">
        <f t="shared" si="16"/>
        <v>2191</v>
      </c>
      <c r="I362" s="86"/>
      <c r="J362" s="219">
        <f t="shared" si="17"/>
        <v>2191</v>
      </c>
    </row>
    <row r="363" spans="1:10" ht="15" customHeight="1">
      <c r="A363" s="98"/>
      <c r="B363" s="117" t="s">
        <v>25</v>
      </c>
      <c r="C363" s="102"/>
      <c r="D363" s="102"/>
      <c r="E363" s="95">
        <v>295</v>
      </c>
      <c r="F363" s="102"/>
      <c r="G363" s="102"/>
      <c r="H363" s="210">
        <f t="shared" si="16"/>
        <v>295</v>
      </c>
      <c r="I363" s="86"/>
      <c r="J363" s="219">
        <f t="shared" si="17"/>
        <v>295</v>
      </c>
    </row>
    <row r="364" spans="1:10" ht="15" customHeight="1">
      <c r="A364" s="98"/>
      <c r="B364" s="117" t="s">
        <v>26</v>
      </c>
      <c r="C364" s="102"/>
      <c r="D364" s="102"/>
      <c r="E364" s="95">
        <v>627</v>
      </c>
      <c r="F364" s="102"/>
      <c r="G364" s="102"/>
      <c r="H364" s="210">
        <f t="shared" si="16"/>
        <v>627</v>
      </c>
      <c r="I364" s="86"/>
      <c r="J364" s="219">
        <f t="shared" si="17"/>
        <v>627</v>
      </c>
    </row>
    <row r="365" spans="1:10" ht="15" customHeight="1">
      <c r="A365" s="98"/>
      <c r="B365" s="117" t="s">
        <v>28</v>
      </c>
      <c r="C365" s="102"/>
      <c r="D365" s="102"/>
      <c r="E365" s="95">
        <v>66</v>
      </c>
      <c r="F365" s="102"/>
      <c r="G365" s="102"/>
      <c r="H365" s="210">
        <f t="shared" si="16"/>
        <v>66</v>
      </c>
      <c r="I365" s="86"/>
      <c r="J365" s="219">
        <f t="shared" si="17"/>
        <v>66</v>
      </c>
    </row>
    <row r="366" spans="1:10" ht="54.75" customHeight="1">
      <c r="A366" s="99" t="s">
        <v>760</v>
      </c>
      <c r="B366" s="100" t="s">
        <v>761</v>
      </c>
      <c r="C366" s="102"/>
      <c r="D366" s="102"/>
      <c r="E366" s="102">
        <f>SUM(E367)</f>
        <v>2425</v>
      </c>
      <c r="F366" s="102"/>
      <c r="G366" s="102"/>
      <c r="H366" s="210">
        <f>SUM(H367)</f>
        <v>2425</v>
      </c>
      <c r="I366" s="86"/>
      <c r="J366" s="219">
        <f t="shared" si="17"/>
        <v>2425</v>
      </c>
    </row>
    <row r="367" spans="1:10" ht="26.25" customHeight="1">
      <c r="A367" s="99"/>
      <c r="B367" s="117" t="s">
        <v>762</v>
      </c>
      <c r="C367" s="102"/>
      <c r="D367" s="102"/>
      <c r="E367" s="102">
        <v>2425</v>
      </c>
      <c r="F367" s="102"/>
      <c r="G367" s="102"/>
      <c r="H367" s="210">
        <f t="shared" si="18" ref="H367:H398">E367</f>
        <v>2425</v>
      </c>
      <c r="I367" s="86"/>
      <c r="J367" s="219">
        <f t="shared" si="17"/>
        <v>2425</v>
      </c>
    </row>
    <row r="368" spans="1:11" s="89" customFormat="1" ht="15" customHeight="1">
      <c r="A368" s="99" t="s">
        <v>598</v>
      </c>
      <c r="B368" s="100" t="s">
        <v>599</v>
      </c>
      <c r="C368" s="101"/>
      <c r="D368" s="101"/>
      <c r="E368" s="101">
        <f>E369+E376+E377+E405</f>
        <v>325215</v>
      </c>
      <c r="F368" s="101"/>
      <c r="G368" s="101"/>
      <c r="H368" s="209">
        <f t="shared" si="18"/>
        <v>325215</v>
      </c>
      <c r="I368" s="55"/>
      <c r="J368" s="213">
        <f t="shared" si="17"/>
        <v>325215</v>
      </c>
      <c r="K368" s="76"/>
    </row>
    <row r="369" spans="1:11" ht="15" customHeight="1">
      <c r="A369" s="99" t="s">
        <v>600</v>
      </c>
      <c r="B369" s="100" t="s">
        <v>601</v>
      </c>
      <c r="C369" s="101"/>
      <c r="D369" s="101"/>
      <c r="E369" s="101">
        <f>SUM(E370:E375)</f>
        <v>19661</v>
      </c>
      <c r="F369" s="101"/>
      <c r="G369" s="101"/>
      <c r="H369" s="209">
        <f t="shared" si="18"/>
        <v>19661</v>
      </c>
      <c r="I369" s="218"/>
      <c r="J369" s="213">
        <f t="shared" si="17"/>
        <v>19661</v>
      </c>
      <c r="K369" s="89"/>
    </row>
    <row r="370" spans="1:10" ht="15" customHeight="1">
      <c r="A370" s="98"/>
      <c r="B370" s="117" t="s">
        <v>83</v>
      </c>
      <c r="C370" s="102"/>
      <c r="D370" s="102"/>
      <c r="E370" s="102">
        <v>6047</v>
      </c>
      <c r="F370" s="102"/>
      <c r="G370" s="102"/>
      <c r="H370" s="210">
        <f t="shared" si="18"/>
        <v>6047</v>
      </c>
      <c r="I370" s="218"/>
      <c r="J370" s="219">
        <f t="shared" si="17"/>
        <v>6047</v>
      </c>
    </row>
    <row r="371" spans="1:10" ht="15" customHeight="1">
      <c r="A371" s="98"/>
      <c r="B371" s="117" t="s">
        <v>173</v>
      </c>
      <c r="C371" s="102"/>
      <c r="D371" s="102"/>
      <c r="E371" s="102">
        <v>6156</v>
      </c>
      <c r="F371" s="102"/>
      <c r="G371" s="102"/>
      <c r="H371" s="210">
        <f t="shared" si="18"/>
        <v>6156</v>
      </c>
      <c r="I371" s="86"/>
      <c r="J371" s="219">
        <f t="shared" si="17"/>
        <v>6156</v>
      </c>
    </row>
    <row r="372" spans="1:10" ht="15" customHeight="1">
      <c r="A372" s="98"/>
      <c r="B372" s="117" t="s">
        <v>235</v>
      </c>
      <c r="C372" s="102"/>
      <c r="D372" s="102"/>
      <c r="E372" s="102">
        <v>1688</v>
      </c>
      <c r="F372" s="102"/>
      <c r="G372" s="102"/>
      <c r="H372" s="210">
        <f t="shared" si="18"/>
        <v>1688</v>
      </c>
      <c r="I372" s="86"/>
      <c r="J372" s="219">
        <f t="shared" si="17"/>
        <v>1688</v>
      </c>
    </row>
    <row r="373" spans="1:10" ht="16.5" customHeight="1">
      <c r="A373" s="98"/>
      <c r="B373" s="119" t="s">
        <v>168</v>
      </c>
      <c r="C373" s="102"/>
      <c r="D373" s="102"/>
      <c r="E373" s="102">
        <v>2550</v>
      </c>
      <c r="F373" s="102"/>
      <c r="G373" s="102"/>
      <c r="H373" s="210">
        <f t="shared" si="18"/>
        <v>2550</v>
      </c>
      <c r="I373" s="86"/>
      <c r="J373" s="219">
        <f t="shared" si="17"/>
        <v>2550</v>
      </c>
    </row>
    <row r="374" spans="1:10" ht="15" customHeight="1">
      <c r="A374" s="98"/>
      <c r="B374" s="119" t="s">
        <v>163</v>
      </c>
      <c r="C374" s="102"/>
      <c r="D374" s="102"/>
      <c r="E374" s="102">
        <v>1560</v>
      </c>
      <c r="F374" s="102"/>
      <c r="G374" s="102"/>
      <c r="H374" s="210">
        <f t="shared" si="18"/>
        <v>1560</v>
      </c>
      <c r="I374" s="86"/>
      <c r="J374" s="219">
        <f t="shared" si="17"/>
        <v>1560</v>
      </c>
    </row>
    <row r="375" spans="1:10" ht="15" customHeight="1">
      <c r="A375" s="98"/>
      <c r="B375" s="119" t="s">
        <v>175</v>
      </c>
      <c r="C375" s="102"/>
      <c r="D375" s="102"/>
      <c r="E375" s="102">
        <v>1660</v>
      </c>
      <c r="F375" s="102"/>
      <c r="G375" s="102"/>
      <c r="H375" s="210">
        <f t="shared" si="18"/>
        <v>1660</v>
      </c>
      <c r="I375" s="86"/>
      <c r="J375" s="219">
        <f t="shared" si="17"/>
        <v>1660</v>
      </c>
    </row>
    <row r="376" spans="1:10" ht="15" customHeight="1">
      <c r="A376" s="99" t="s">
        <v>602</v>
      </c>
      <c r="B376" s="196" t="s">
        <v>603</v>
      </c>
      <c r="C376" s="101"/>
      <c r="D376" s="101"/>
      <c r="E376" s="101">
        <v>75000</v>
      </c>
      <c r="F376" s="101"/>
      <c r="G376" s="101"/>
      <c r="H376" s="209">
        <f t="shared" si="18"/>
        <v>75000</v>
      </c>
      <c r="I376" s="86"/>
      <c r="J376" s="213">
        <f t="shared" si="17"/>
        <v>75000</v>
      </c>
    </row>
    <row r="377" spans="1:10" ht="15" customHeight="1">
      <c r="A377" s="99" t="s">
        <v>604</v>
      </c>
      <c r="B377" s="99" t="s">
        <v>605</v>
      </c>
      <c r="C377" s="101"/>
      <c r="D377" s="101"/>
      <c r="E377" s="101">
        <f>SUM(E378:E404)</f>
        <v>182234</v>
      </c>
      <c r="F377" s="101"/>
      <c r="G377" s="101"/>
      <c r="H377" s="209">
        <f t="shared" si="18"/>
        <v>182234</v>
      </c>
      <c r="I377" s="218"/>
      <c r="J377" s="213">
        <f t="shared" si="17"/>
        <v>182234</v>
      </c>
    </row>
    <row r="378" spans="1:10" ht="15" customHeight="1">
      <c r="A378" s="98"/>
      <c r="B378" s="119" t="s">
        <v>189</v>
      </c>
      <c r="C378" s="102"/>
      <c r="D378" s="102"/>
      <c r="E378" s="102">
        <v>21000</v>
      </c>
      <c r="F378" s="102"/>
      <c r="G378" s="102"/>
      <c r="H378" s="210">
        <f t="shared" si="18"/>
        <v>21000</v>
      </c>
      <c r="I378" s="215"/>
      <c r="J378" s="219">
        <f t="shared" si="17"/>
        <v>21000</v>
      </c>
    </row>
    <row r="379" spans="1:10" ht="15" customHeight="1">
      <c r="A379" s="98"/>
      <c r="B379" s="119" t="s">
        <v>15</v>
      </c>
      <c r="C379" s="102"/>
      <c r="D379" s="102"/>
      <c r="E379" s="102">
        <v>1200</v>
      </c>
      <c r="F379" s="102"/>
      <c r="G379" s="102"/>
      <c r="H379" s="210">
        <f t="shared" si="18"/>
        <v>1200</v>
      </c>
      <c r="I379" s="86"/>
      <c r="J379" s="219">
        <f t="shared" si="17"/>
        <v>1200</v>
      </c>
    </row>
    <row r="380" spans="1:10" ht="15" customHeight="1">
      <c r="A380" s="98"/>
      <c r="B380" s="119" t="s">
        <v>606</v>
      </c>
      <c r="C380" s="102"/>
      <c r="D380" s="102"/>
      <c r="E380" s="102">
        <v>18500</v>
      </c>
      <c r="F380" s="102"/>
      <c r="G380" s="102"/>
      <c r="H380" s="210">
        <f t="shared" si="18"/>
        <v>18500</v>
      </c>
      <c r="I380" s="86"/>
      <c r="J380" s="219">
        <f t="shared" si="17"/>
        <v>18500</v>
      </c>
    </row>
    <row r="381" spans="1:10" ht="15" customHeight="1">
      <c r="A381" s="98"/>
      <c r="B381" s="119" t="s">
        <v>563</v>
      </c>
      <c r="C381" s="102"/>
      <c r="D381" s="102"/>
      <c r="E381" s="102">
        <f>5186+95100+9380</f>
        <v>109666</v>
      </c>
      <c r="F381" s="102"/>
      <c r="G381" s="102"/>
      <c r="H381" s="210">
        <f t="shared" si="18"/>
        <v>109666</v>
      </c>
      <c r="I381" s="86"/>
      <c r="J381" s="219">
        <f t="shared" si="17"/>
        <v>109666</v>
      </c>
    </row>
    <row r="382" spans="1:10" ht="15" customHeight="1">
      <c r="A382" s="98"/>
      <c r="B382" s="120" t="s">
        <v>804</v>
      </c>
      <c r="C382" s="102"/>
      <c r="D382" s="102"/>
      <c r="E382" s="102">
        <v>600</v>
      </c>
      <c r="F382" s="102"/>
      <c r="G382" s="102"/>
      <c r="H382" s="210">
        <f t="shared" si="18"/>
        <v>600</v>
      </c>
      <c r="I382" s="86"/>
      <c r="J382" s="219">
        <f t="shared" si="17"/>
        <v>600</v>
      </c>
    </row>
    <row r="383" spans="1:10" ht="19.5" customHeight="1">
      <c r="A383" s="98"/>
      <c r="B383" s="117" t="s">
        <v>824</v>
      </c>
      <c r="C383" s="102"/>
      <c r="D383" s="102"/>
      <c r="E383" s="102">
        <v>1510</v>
      </c>
      <c r="F383" s="102"/>
      <c r="G383" s="102"/>
      <c r="H383" s="210">
        <f t="shared" si="18"/>
        <v>1510</v>
      </c>
      <c r="I383" s="86"/>
      <c r="J383" s="219">
        <f t="shared" si="17"/>
        <v>1510</v>
      </c>
    </row>
    <row r="384" spans="1:10" ht="15" customHeight="1">
      <c r="A384" s="98"/>
      <c r="B384" s="119" t="s">
        <v>692</v>
      </c>
      <c r="C384" s="102"/>
      <c r="D384" s="102"/>
      <c r="E384" s="102">
        <v>367</v>
      </c>
      <c r="F384" s="102"/>
      <c r="G384" s="102"/>
      <c r="H384" s="210">
        <f t="shared" si="18"/>
        <v>367</v>
      </c>
      <c r="I384" s="86"/>
      <c r="J384" s="219">
        <f t="shared" si="17"/>
        <v>367</v>
      </c>
    </row>
    <row r="385" spans="1:10" ht="15" customHeight="1">
      <c r="A385" s="98"/>
      <c r="B385" s="120" t="s">
        <v>172</v>
      </c>
      <c r="C385" s="102"/>
      <c r="D385" s="102"/>
      <c r="E385" s="102">
        <v>600</v>
      </c>
      <c r="F385" s="102"/>
      <c r="G385" s="102"/>
      <c r="H385" s="210">
        <f t="shared" si="18"/>
        <v>600</v>
      </c>
      <c r="I385" s="86"/>
      <c r="J385" s="219">
        <f t="shared" si="17"/>
        <v>600</v>
      </c>
    </row>
    <row r="386" spans="1:10" ht="21.75" customHeight="1">
      <c r="A386" s="98"/>
      <c r="B386" s="119" t="s">
        <v>774</v>
      </c>
      <c r="C386" s="102"/>
      <c r="D386" s="102"/>
      <c r="E386" s="102">
        <v>1500</v>
      </c>
      <c r="F386" s="102"/>
      <c r="G386" s="102"/>
      <c r="H386" s="210">
        <f t="shared" si="18"/>
        <v>1500</v>
      </c>
      <c r="I386" s="86"/>
      <c r="J386" s="219">
        <f t="shared" si="17"/>
        <v>1500</v>
      </c>
    </row>
    <row r="387" spans="1:10" ht="30" customHeight="1">
      <c r="A387" s="98"/>
      <c r="B387" s="119" t="s">
        <v>805</v>
      </c>
      <c r="C387" s="102"/>
      <c r="D387" s="102"/>
      <c r="E387" s="102">
        <v>1800</v>
      </c>
      <c r="F387" s="102"/>
      <c r="G387" s="102"/>
      <c r="H387" s="210">
        <f t="shared" si="18"/>
        <v>1800</v>
      </c>
      <c r="I387" s="86"/>
      <c r="J387" s="219">
        <f t="shared" si="17"/>
        <v>1800</v>
      </c>
    </row>
    <row r="388" spans="1:10" ht="30" customHeight="1">
      <c r="A388" s="98"/>
      <c r="B388" s="117" t="s">
        <v>806</v>
      </c>
      <c r="C388" s="102"/>
      <c r="D388" s="102"/>
      <c r="E388" s="102">
        <v>400</v>
      </c>
      <c r="F388" s="102"/>
      <c r="G388" s="102"/>
      <c r="H388" s="210">
        <f t="shared" si="18"/>
        <v>400</v>
      </c>
      <c r="I388" s="86"/>
      <c r="J388" s="219">
        <f t="shared" si="17"/>
        <v>400</v>
      </c>
    </row>
    <row r="389" spans="1:10" ht="30" customHeight="1">
      <c r="A389" s="98"/>
      <c r="B389" s="117" t="s">
        <v>324</v>
      </c>
      <c r="C389" s="102"/>
      <c r="D389" s="102"/>
      <c r="E389" s="102">
        <v>1800</v>
      </c>
      <c r="F389" s="102"/>
      <c r="G389" s="102"/>
      <c r="H389" s="210">
        <f t="shared" si="18"/>
        <v>1800</v>
      </c>
      <c r="I389" s="86"/>
      <c r="J389" s="219">
        <f t="shared" si="17"/>
        <v>1800</v>
      </c>
    </row>
    <row r="390" spans="1:10" ht="30" customHeight="1">
      <c r="A390" s="98"/>
      <c r="B390" s="120" t="s">
        <v>795</v>
      </c>
      <c r="C390" s="102"/>
      <c r="D390" s="102"/>
      <c r="E390" s="102">
        <v>100</v>
      </c>
      <c r="F390" s="102"/>
      <c r="G390" s="102"/>
      <c r="H390" s="210">
        <f t="shared" si="18"/>
        <v>100</v>
      </c>
      <c r="I390" s="86"/>
      <c r="J390" s="219">
        <f t="shared" si="17"/>
        <v>100</v>
      </c>
    </row>
    <row r="391" spans="1:10" ht="30" customHeight="1">
      <c r="A391" s="98"/>
      <c r="B391" s="119" t="s">
        <v>815</v>
      </c>
      <c r="C391" s="102"/>
      <c r="D391" s="102"/>
      <c r="E391" s="102">
        <v>200</v>
      </c>
      <c r="F391" s="102"/>
      <c r="G391" s="102"/>
      <c r="H391" s="210">
        <f t="shared" si="18"/>
        <v>200</v>
      </c>
      <c r="I391" s="86"/>
      <c r="J391" s="219">
        <f t="shared" si="17"/>
        <v>200</v>
      </c>
    </row>
    <row r="392" spans="1:10" ht="30" customHeight="1">
      <c r="A392" s="98"/>
      <c r="B392" s="120" t="s">
        <v>814</v>
      </c>
      <c r="C392" s="102"/>
      <c r="D392" s="102"/>
      <c r="E392" s="95">
        <v>1000</v>
      </c>
      <c r="F392" s="102"/>
      <c r="G392" s="102"/>
      <c r="H392" s="210">
        <f t="shared" si="18"/>
        <v>1000</v>
      </c>
      <c r="I392" s="86"/>
      <c r="J392" s="219">
        <f t="shared" si="17"/>
        <v>1000</v>
      </c>
    </row>
    <row r="393" spans="1:10" ht="30" customHeight="1">
      <c r="A393" s="98"/>
      <c r="B393" s="120" t="s">
        <v>813</v>
      </c>
      <c r="C393" s="102"/>
      <c r="D393" s="102"/>
      <c r="E393" s="102">
        <f>5000+500</f>
        <v>5500</v>
      </c>
      <c r="F393" s="102"/>
      <c r="G393" s="102"/>
      <c r="H393" s="210">
        <f t="shared" si="18"/>
        <v>5500</v>
      </c>
      <c r="I393" s="86"/>
      <c r="J393" s="219">
        <f t="shared" si="17"/>
        <v>5500</v>
      </c>
    </row>
    <row r="394" spans="1:10" ht="30" customHeight="1">
      <c r="A394" s="98"/>
      <c r="B394" s="120" t="s">
        <v>807</v>
      </c>
      <c r="C394" s="102"/>
      <c r="D394" s="102"/>
      <c r="E394" s="102">
        <v>1300</v>
      </c>
      <c r="F394" s="102"/>
      <c r="G394" s="102"/>
      <c r="H394" s="210">
        <f t="shared" si="18"/>
        <v>1300</v>
      </c>
      <c r="I394" s="86"/>
      <c r="J394" s="219">
        <f t="shared" si="17"/>
        <v>1300</v>
      </c>
    </row>
    <row r="395" spans="1:10" ht="15" customHeight="1">
      <c r="A395" s="98"/>
      <c r="B395" s="117" t="s">
        <v>705</v>
      </c>
      <c r="C395" s="102"/>
      <c r="D395" s="102"/>
      <c r="E395" s="102">
        <v>300</v>
      </c>
      <c r="F395" s="102"/>
      <c r="G395" s="102"/>
      <c r="H395" s="210">
        <f t="shared" si="18"/>
        <v>300</v>
      </c>
      <c r="I395" s="86"/>
      <c r="J395" s="219">
        <f t="shared" si="17"/>
        <v>300</v>
      </c>
    </row>
    <row r="396" spans="1:10" ht="20.25" customHeight="1">
      <c r="A396" s="98"/>
      <c r="B396" s="117" t="s">
        <v>84</v>
      </c>
      <c r="C396" s="102"/>
      <c r="D396" s="102"/>
      <c r="E396" s="102">
        <v>8691</v>
      </c>
      <c r="F396" s="102"/>
      <c r="G396" s="102"/>
      <c r="H396" s="210">
        <f t="shared" si="18"/>
        <v>8691</v>
      </c>
      <c r="I396" s="86"/>
      <c r="J396" s="219">
        <f t="shared" si="17"/>
        <v>8691</v>
      </c>
    </row>
    <row r="397" spans="1:10" ht="30.75" customHeight="1">
      <c r="A397" s="98"/>
      <c r="B397" s="117" t="s">
        <v>808</v>
      </c>
      <c r="C397" s="102"/>
      <c r="D397" s="102"/>
      <c r="E397" s="102">
        <v>200</v>
      </c>
      <c r="F397" s="102"/>
      <c r="G397" s="102"/>
      <c r="H397" s="210">
        <f t="shared" si="18"/>
        <v>200</v>
      </c>
      <c r="I397" s="86"/>
      <c r="J397" s="219">
        <f t="shared" si="17"/>
        <v>200</v>
      </c>
    </row>
    <row r="398" spans="1:10" ht="28.5" customHeight="1">
      <c r="A398" s="98"/>
      <c r="B398" s="117" t="s">
        <v>809</v>
      </c>
      <c r="C398" s="102"/>
      <c r="D398" s="102"/>
      <c r="E398" s="102">
        <v>900</v>
      </c>
      <c r="F398" s="102"/>
      <c r="G398" s="102"/>
      <c r="H398" s="210">
        <f t="shared" si="18"/>
        <v>900</v>
      </c>
      <c r="I398" s="86"/>
      <c r="J398" s="219">
        <f t="shared" si="19" ref="J398:J431">H398+I398</f>
        <v>900</v>
      </c>
    </row>
    <row r="399" spans="1:10" ht="33" customHeight="1">
      <c r="A399" s="98"/>
      <c r="B399" s="117" t="s">
        <v>810</v>
      </c>
      <c r="C399" s="102"/>
      <c r="D399" s="102"/>
      <c r="E399" s="102">
        <v>300</v>
      </c>
      <c r="F399" s="102"/>
      <c r="G399" s="102"/>
      <c r="H399" s="210">
        <f t="shared" si="20" ref="H399:H431">E399</f>
        <v>300</v>
      </c>
      <c r="I399" s="86"/>
      <c r="J399" s="219">
        <f t="shared" si="19"/>
        <v>300</v>
      </c>
    </row>
    <row r="400" spans="1:10" ht="15" customHeight="1">
      <c r="A400" s="98"/>
      <c r="B400" s="117" t="s">
        <v>708</v>
      </c>
      <c r="C400" s="102"/>
      <c r="D400" s="102"/>
      <c r="E400" s="102">
        <v>1000</v>
      </c>
      <c r="F400" s="102"/>
      <c r="G400" s="102"/>
      <c r="H400" s="210">
        <f t="shared" si="20"/>
        <v>1000</v>
      </c>
      <c r="I400" s="86"/>
      <c r="J400" s="219">
        <f t="shared" si="19"/>
        <v>1000</v>
      </c>
    </row>
    <row r="401" spans="1:10" ht="15" customHeight="1">
      <c r="A401" s="98"/>
      <c r="B401" s="117" t="s">
        <v>175</v>
      </c>
      <c r="C401" s="102"/>
      <c r="D401" s="102"/>
      <c r="E401" s="95">
        <v>1000</v>
      </c>
      <c r="F401" s="102"/>
      <c r="G401" s="102"/>
      <c r="H401" s="210">
        <f t="shared" si="20"/>
        <v>1000</v>
      </c>
      <c r="I401" s="86"/>
      <c r="J401" s="219">
        <f t="shared" si="19"/>
        <v>1000</v>
      </c>
    </row>
    <row r="402" spans="1:10" ht="15.75">
      <c r="A402" s="98"/>
      <c r="B402" s="120" t="s">
        <v>811</v>
      </c>
      <c r="C402" s="102"/>
      <c r="D402" s="102"/>
      <c r="E402" s="102">
        <v>1000</v>
      </c>
      <c r="F402" s="102"/>
      <c r="G402" s="102"/>
      <c r="H402" s="210">
        <f t="shared" si="20"/>
        <v>1000</v>
      </c>
      <c r="I402" s="86"/>
      <c r="J402" s="219">
        <f t="shared" si="19"/>
        <v>1000</v>
      </c>
    </row>
    <row r="403" spans="1:10" ht="33.6" customHeight="1">
      <c r="A403" s="98"/>
      <c r="B403" s="117" t="s">
        <v>812</v>
      </c>
      <c r="C403" s="102"/>
      <c r="D403" s="102"/>
      <c r="E403" s="102">
        <v>1400</v>
      </c>
      <c r="F403" s="102"/>
      <c r="G403" s="102"/>
      <c r="H403" s="210">
        <f t="shared" si="20"/>
        <v>1400</v>
      </c>
      <c r="I403" s="86"/>
      <c r="J403" s="219">
        <f t="shared" si="19"/>
        <v>1400</v>
      </c>
    </row>
    <row r="404" spans="1:10" ht="30.6" customHeight="1">
      <c r="A404" s="98"/>
      <c r="B404" s="117" t="s">
        <v>785</v>
      </c>
      <c r="C404" s="102"/>
      <c r="D404" s="102"/>
      <c r="E404" s="95">
        <v>400</v>
      </c>
      <c r="F404" s="102"/>
      <c r="G404" s="102"/>
      <c r="H404" s="210">
        <f t="shared" si="20"/>
        <v>400</v>
      </c>
      <c r="I404" s="86"/>
      <c r="J404" s="219">
        <f t="shared" si="19"/>
        <v>400</v>
      </c>
    </row>
    <row r="405" spans="1:10" ht="15" customHeight="1">
      <c r="A405" s="99" t="s">
        <v>607</v>
      </c>
      <c r="B405" s="99" t="s">
        <v>608</v>
      </c>
      <c r="C405" s="101"/>
      <c r="D405" s="101"/>
      <c r="E405" s="101">
        <f>SUM(E406:E426)</f>
        <v>48320</v>
      </c>
      <c r="F405" s="101"/>
      <c r="G405" s="101"/>
      <c r="H405" s="209">
        <f t="shared" si="20"/>
        <v>48320</v>
      </c>
      <c r="I405" s="86"/>
      <c r="J405" s="213">
        <f t="shared" si="19"/>
        <v>48320</v>
      </c>
    </row>
    <row r="406" spans="1:10" ht="15" customHeight="1">
      <c r="A406" s="98"/>
      <c r="B406" s="119" t="s">
        <v>43</v>
      </c>
      <c r="C406" s="102"/>
      <c r="D406" s="102"/>
      <c r="E406" s="102">
        <v>2200</v>
      </c>
      <c r="F406" s="102"/>
      <c r="G406" s="102"/>
      <c r="H406" s="210">
        <f t="shared" si="20"/>
        <v>2200</v>
      </c>
      <c r="I406" s="86"/>
      <c r="J406" s="219">
        <f t="shared" si="19"/>
        <v>2200</v>
      </c>
    </row>
    <row r="407" spans="1:10" ht="15" customHeight="1">
      <c r="A407" s="98"/>
      <c r="B407" s="119" t="s">
        <v>44</v>
      </c>
      <c r="C407" s="102"/>
      <c r="D407" s="102"/>
      <c r="E407" s="102">
        <v>3000</v>
      </c>
      <c r="F407" s="102"/>
      <c r="G407" s="102"/>
      <c r="H407" s="210">
        <f t="shared" si="20"/>
        <v>3000</v>
      </c>
      <c r="I407" s="86"/>
      <c r="J407" s="219">
        <f t="shared" si="19"/>
        <v>3000</v>
      </c>
    </row>
    <row r="408" spans="1:10" ht="15" customHeight="1">
      <c r="A408" s="98"/>
      <c r="B408" s="119" t="s">
        <v>694</v>
      </c>
      <c r="C408" s="102"/>
      <c r="D408" s="102"/>
      <c r="E408" s="102">
        <v>1875</v>
      </c>
      <c r="F408" s="102"/>
      <c r="G408" s="102"/>
      <c r="H408" s="210">
        <f t="shared" si="20"/>
        <v>1875</v>
      </c>
      <c r="I408" s="86"/>
      <c r="J408" s="219">
        <f t="shared" si="19"/>
        <v>1875</v>
      </c>
    </row>
    <row r="409" spans="1:10" ht="15" customHeight="1">
      <c r="A409" s="98"/>
      <c r="B409" s="119" t="s">
        <v>609</v>
      </c>
      <c r="C409" s="102"/>
      <c r="D409" s="102"/>
      <c r="E409" s="102">
        <v>1200</v>
      </c>
      <c r="F409" s="102"/>
      <c r="G409" s="102"/>
      <c r="H409" s="210">
        <f t="shared" si="20"/>
        <v>1200</v>
      </c>
      <c r="I409" s="86"/>
      <c r="J409" s="219">
        <f t="shared" si="19"/>
        <v>1200</v>
      </c>
    </row>
    <row r="410" spans="1:10" ht="15" customHeight="1">
      <c r="A410" s="98"/>
      <c r="B410" s="119" t="s">
        <v>521</v>
      </c>
      <c r="C410" s="102"/>
      <c r="D410" s="102"/>
      <c r="E410" s="102">
        <v>550</v>
      </c>
      <c r="F410" s="102"/>
      <c r="G410" s="102"/>
      <c r="H410" s="210">
        <f t="shared" si="20"/>
        <v>550</v>
      </c>
      <c r="I410" s="86"/>
      <c r="J410" s="219">
        <f t="shared" si="19"/>
        <v>550</v>
      </c>
    </row>
    <row r="411" spans="1:10" ht="15" customHeight="1">
      <c r="A411" s="98"/>
      <c r="B411" s="119" t="s">
        <v>522</v>
      </c>
      <c r="C411" s="102"/>
      <c r="D411" s="102"/>
      <c r="E411" s="102">
        <v>1300</v>
      </c>
      <c r="F411" s="102"/>
      <c r="G411" s="102"/>
      <c r="H411" s="210">
        <f t="shared" si="20"/>
        <v>1300</v>
      </c>
      <c r="I411" s="86"/>
      <c r="J411" s="219">
        <f t="shared" si="19"/>
        <v>1300</v>
      </c>
    </row>
    <row r="412" spans="1:10" ht="15" customHeight="1">
      <c r="A412" s="98"/>
      <c r="B412" s="119" t="s">
        <v>173</v>
      </c>
      <c r="C412" s="102"/>
      <c r="D412" s="102"/>
      <c r="E412" s="102">
        <v>1318</v>
      </c>
      <c r="F412" s="102"/>
      <c r="G412" s="102"/>
      <c r="H412" s="210">
        <f t="shared" si="20"/>
        <v>1318</v>
      </c>
      <c r="I412" s="86"/>
      <c r="J412" s="219">
        <f t="shared" si="19"/>
        <v>1318</v>
      </c>
    </row>
    <row r="413" spans="1:10" ht="15" customHeight="1">
      <c r="A413" s="98"/>
      <c r="B413" s="119" t="s">
        <v>168</v>
      </c>
      <c r="C413" s="102"/>
      <c r="D413" s="102"/>
      <c r="E413" s="102">
        <v>3500</v>
      </c>
      <c r="F413" s="102"/>
      <c r="G413" s="102"/>
      <c r="H413" s="210">
        <f t="shared" si="20"/>
        <v>3500</v>
      </c>
      <c r="I413" s="86"/>
      <c r="J413" s="219">
        <f t="shared" si="19"/>
        <v>3500</v>
      </c>
    </row>
    <row r="414" spans="1:10" ht="15" customHeight="1">
      <c r="A414" s="98"/>
      <c r="B414" s="119" t="s">
        <v>47</v>
      </c>
      <c r="C414" s="102"/>
      <c r="D414" s="102"/>
      <c r="E414" s="102">
        <v>2574</v>
      </c>
      <c r="F414" s="102"/>
      <c r="G414" s="102"/>
      <c r="H414" s="210">
        <f t="shared" si="20"/>
        <v>2574</v>
      </c>
      <c r="I414" s="86"/>
      <c r="J414" s="219">
        <f t="shared" si="19"/>
        <v>2574</v>
      </c>
    </row>
    <row r="415" spans="1:10" ht="15" customHeight="1">
      <c r="A415" s="98"/>
      <c r="B415" s="119" t="s">
        <v>235</v>
      </c>
      <c r="C415" s="102"/>
      <c r="D415" s="102"/>
      <c r="E415" s="102">
        <v>6300</v>
      </c>
      <c r="F415" s="102"/>
      <c r="G415" s="102"/>
      <c r="H415" s="210">
        <f t="shared" si="20"/>
        <v>6300</v>
      </c>
      <c r="I415" s="86"/>
      <c r="J415" s="219">
        <f t="shared" si="19"/>
        <v>6300</v>
      </c>
    </row>
    <row r="416" spans="1:10" ht="19.5" customHeight="1">
      <c r="A416" s="98"/>
      <c r="B416" s="119" t="s">
        <v>706</v>
      </c>
      <c r="C416" s="102"/>
      <c r="D416" s="102"/>
      <c r="E416" s="102">
        <v>1456</v>
      </c>
      <c r="F416" s="102"/>
      <c r="G416" s="102"/>
      <c r="H416" s="210">
        <f t="shared" si="20"/>
        <v>1456</v>
      </c>
      <c r="I416" s="86"/>
      <c r="J416" s="219">
        <f t="shared" si="19"/>
        <v>1456</v>
      </c>
    </row>
    <row r="417" spans="1:10" ht="18.75" customHeight="1">
      <c r="A417" s="98"/>
      <c r="B417" s="119" t="s">
        <v>707</v>
      </c>
      <c r="C417" s="102"/>
      <c r="D417" s="102"/>
      <c r="E417" s="102">
        <v>500</v>
      </c>
      <c r="F417" s="102"/>
      <c r="G417" s="102"/>
      <c r="H417" s="210">
        <f t="shared" si="20"/>
        <v>500</v>
      </c>
      <c r="I417" s="86"/>
      <c r="J417" s="219">
        <f t="shared" si="19"/>
        <v>500</v>
      </c>
    </row>
    <row r="418" spans="1:10" ht="15" customHeight="1">
      <c r="A418" s="98"/>
      <c r="B418" s="119" t="s">
        <v>164</v>
      </c>
      <c r="C418" s="102"/>
      <c r="D418" s="102"/>
      <c r="E418" s="102">
        <v>2500</v>
      </c>
      <c r="F418" s="102"/>
      <c r="G418" s="102"/>
      <c r="H418" s="210">
        <f t="shared" si="20"/>
        <v>2500</v>
      </c>
      <c r="I418" s="86"/>
      <c r="J418" s="219">
        <f t="shared" si="19"/>
        <v>2500</v>
      </c>
    </row>
    <row r="419" spans="1:10" ht="15" customHeight="1">
      <c r="A419" s="98"/>
      <c r="B419" s="119" t="s">
        <v>260</v>
      </c>
      <c r="C419" s="102"/>
      <c r="D419" s="102"/>
      <c r="E419" s="102">
        <v>110</v>
      </c>
      <c r="F419" s="102"/>
      <c r="G419" s="102"/>
      <c r="H419" s="210">
        <f t="shared" si="20"/>
        <v>110</v>
      </c>
      <c r="I419" s="86"/>
      <c r="J419" s="219">
        <f t="shared" si="19"/>
        <v>110</v>
      </c>
    </row>
    <row r="420" spans="1:10" ht="15" customHeight="1">
      <c r="A420" s="98"/>
      <c r="B420" s="119" t="s">
        <v>171</v>
      </c>
      <c r="C420" s="102"/>
      <c r="D420" s="102"/>
      <c r="E420" s="102">
        <v>1700</v>
      </c>
      <c r="F420" s="102"/>
      <c r="G420" s="102"/>
      <c r="H420" s="210">
        <f t="shared" si="20"/>
        <v>1700</v>
      </c>
      <c r="I420" s="86"/>
      <c r="J420" s="219">
        <f t="shared" si="19"/>
        <v>1700</v>
      </c>
    </row>
    <row r="421" spans="1:10" ht="15" customHeight="1">
      <c r="A421" s="98"/>
      <c r="B421" s="119" t="s">
        <v>163</v>
      </c>
      <c r="C421" s="102"/>
      <c r="D421" s="102"/>
      <c r="E421" s="102">
        <v>5440</v>
      </c>
      <c r="F421" s="102"/>
      <c r="G421" s="102"/>
      <c r="H421" s="210">
        <f t="shared" si="20"/>
        <v>5440</v>
      </c>
      <c r="I421" s="86"/>
      <c r="J421" s="219">
        <f t="shared" si="19"/>
        <v>5440</v>
      </c>
    </row>
    <row r="422" spans="1:10" ht="15" customHeight="1">
      <c r="A422" s="98"/>
      <c r="B422" s="119" t="s">
        <v>175</v>
      </c>
      <c r="C422" s="102"/>
      <c r="D422" s="102"/>
      <c r="E422" s="102">
        <v>2000</v>
      </c>
      <c r="F422" s="102"/>
      <c r="G422" s="102"/>
      <c r="H422" s="210">
        <f t="shared" si="20"/>
        <v>2000</v>
      </c>
      <c r="I422" s="86"/>
      <c r="J422" s="219">
        <f t="shared" si="19"/>
        <v>2000</v>
      </c>
    </row>
    <row r="423" spans="1:10" ht="21" customHeight="1">
      <c r="A423" s="98"/>
      <c r="B423" s="119" t="s">
        <v>742</v>
      </c>
      <c r="C423" s="102"/>
      <c r="D423" s="102"/>
      <c r="E423" s="102">
        <v>5300</v>
      </c>
      <c r="F423" s="102"/>
      <c r="G423" s="102"/>
      <c r="H423" s="210">
        <f t="shared" si="20"/>
        <v>5300</v>
      </c>
      <c r="I423" s="86"/>
      <c r="J423" s="219">
        <f t="shared" si="19"/>
        <v>5300</v>
      </c>
    </row>
    <row r="424" spans="1:10" ht="15.75">
      <c r="A424" s="98"/>
      <c r="B424" s="119" t="s">
        <v>508</v>
      </c>
      <c r="C424" s="102"/>
      <c r="D424" s="102"/>
      <c r="E424" s="95">
        <v>2314</v>
      </c>
      <c r="F424" s="102"/>
      <c r="G424" s="102"/>
      <c r="H424" s="210">
        <f t="shared" si="20"/>
        <v>2314</v>
      </c>
      <c r="I424" s="86"/>
      <c r="J424" s="219">
        <f t="shared" si="19"/>
        <v>2314</v>
      </c>
    </row>
    <row r="425" spans="1:10" ht="15.75">
      <c r="A425" s="98"/>
      <c r="B425" s="120" t="s">
        <v>130</v>
      </c>
      <c r="C425" s="102"/>
      <c r="D425" s="102"/>
      <c r="E425" s="102">
        <v>1363</v>
      </c>
      <c r="F425" s="102"/>
      <c r="G425" s="102"/>
      <c r="H425" s="210">
        <f t="shared" si="20"/>
        <v>1363</v>
      </c>
      <c r="I425" s="86"/>
      <c r="J425" s="219">
        <f t="shared" si="19"/>
        <v>1363</v>
      </c>
    </row>
    <row r="426" spans="1:10" ht="15.75">
      <c r="A426" s="98"/>
      <c r="B426" s="117" t="s">
        <v>131</v>
      </c>
      <c r="C426" s="102"/>
      <c r="D426" s="102"/>
      <c r="E426" s="102">
        <v>1820</v>
      </c>
      <c r="F426" s="102"/>
      <c r="G426" s="102"/>
      <c r="H426" s="210">
        <f t="shared" si="20"/>
        <v>1820</v>
      </c>
      <c r="I426" s="86"/>
      <c r="J426" s="219">
        <f t="shared" si="19"/>
        <v>1820</v>
      </c>
    </row>
    <row r="427" spans="1:10" ht="63">
      <c r="A427" s="99" t="s">
        <v>610</v>
      </c>
      <c r="B427" s="100" t="s">
        <v>611</v>
      </c>
      <c r="C427" s="101"/>
      <c r="D427" s="101"/>
      <c r="E427" s="101">
        <f>E428+E430</f>
        <v>75000</v>
      </c>
      <c r="F427" s="102"/>
      <c r="G427" s="102"/>
      <c r="H427" s="209">
        <f t="shared" si="20"/>
        <v>75000</v>
      </c>
      <c r="I427" s="98"/>
      <c r="J427" s="213">
        <f t="shared" si="19"/>
        <v>75000</v>
      </c>
    </row>
    <row r="428" spans="1:10" ht="31.5">
      <c r="A428" s="99" t="s">
        <v>612</v>
      </c>
      <c r="B428" s="100" t="s">
        <v>613</v>
      </c>
      <c r="C428" s="101"/>
      <c r="D428" s="101"/>
      <c r="E428" s="101">
        <f>SUM(E429:E429)</f>
        <v>5000</v>
      </c>
      <c r="F428" s="101"/>
      <c r="G428" s="101"/>
      <c r="H428" s="209">
        <f t="shared" si="20"/>
        <v>5000</v>
      </c>
      <c r="I428" s="86"/>
      <c r="J428" s="213">
        <f t="shared" si="19"/>
        <v>5000</v>
      </c>
    </row>
    <row r="429" spans="1:10" ht="15.75">
      <c r="A429" s="98"/>
      <c r="B429" s="117" t="s">
        <v>688</v>
      </c>
      <c r="C429" s="102"/>
      <c r="D429" s="102"/>
      <c r="E429" s="102">
        <v>5000</v>
      </c>
      <c r="F429" s="102"/>
      <c r="G429" s="102"/>
      <c r="H429" s="210">
        <f t="shared" si="20"/>
        <v>5000</v>
      </c>
      <c r="I429" s="86"/>
      <c r="J429" s="219">
        <f t="shared" si="19"/>
        <v>5000</v>
      </c>
    </row>
    <row r="430" spans="1:10" ht="15.75">
      <c r="A430" s="99" t="s">
        <v>614</v>
      </c>
      <c r="B430" s="99" t="s">
        <v>615</v>
      </c>
      <c r="C430" s="101"/>
      <c r="D430" s="101"/>
      <c r="E430" s="101">
        <f>SUM(E431:E431)</f>
        <v>70000</v>
      </c>
      <c r="F430" s="101"/>
      <c r="G430" s="101"/>
      <c r="H430" s="209">
        <f t="shared" si="20"/>
        <v>70000</v>
      </c>
      <c r="I430" s="86"/>
      <c r="J430" s="213">
        <f t="shared" si="19"/>
        <v>70000</v>
      </c>
    </row>
    <row r="431" spans="1:10" ht="15.75">
      <c r="A431" s="98"/>
      <c r="B431" s="98" t="s">
        <v>689</v>
      </c>
      <c r="C431" s="102"/>
      <c r="D431" s="102"/>
      <c r="E431" s="95">
        <v>70000</v>
      </c>
      <c r="F431" s="102"/>
      <c r="G431" s="102"/>
      <c r="H431" s="210">
        <f t="shared" si="20"/>
        <v>70000</v>
      </c>
      <c r="I431" s="86"/>
      <c r="J431" s="219">
        <f t="shared" si="19"/>
        <v>70000</v>
      </c>
    </row>
    <row r="434" spans="2:2" ht="18.75">
      <c r="B434" s="125" t="s">
        <v>847</v>
      </c>
    </row>
  </sheetData>
  <mergeCells count="7">
    <mergeCell ref="I15:I16"/>
    <mergeCell ref="J15:J16"/>
    <mergeCell ref="A13:H13"/>
    <mergeCell ref="A15:A16"/>
    <mergeCell ref="B15:B16"/>
    <mergeCell ref="C15:F15"/>
    <mergeCell ref="H15:H16"/>
  </mergeCells>
  <pageMargins left="0.7" right="0.7" top="0.75" bottom="0.75" header="0.3" footer="0.3"/>
  <pageSetup orientation="portrait" paperSize="9" scale="4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3"/>
  <sheetViews>
    <sheetView workbookViewId="0" topLeftCell="A4">
      <selection pane="topLeft" activeCell="C37" sqref="C37"/>
    </sheetView>
  </sheetViews>
  <sheetFormatPr defaultRowHeight="15.75"/>
  <cols>
    <col min="1" max="1" width="14.4285714285714" customWidth="1"/>
    <col min="2" max="2" width="38.8571428571429" style="76" customWidth="1"/>
    <col min="3" max="3" width="18.2857142857143" style="26" customWidth="1"/>
    <col min="4" max="4" width="18.5714285714286" customWidth="1"/>
    <col min="5" max="5" width="15.7142857142857" customWidth="1"/>
    <col min="6" max="6" width="18.2857142857143" customWidth="1"/>
    <col min="7" max="7" width="17.2857142857143" customWidth="1"/>
    <col min="8" max="8" width="17.7142857142857" style="126" customWidth="1"/>
    <col min="9" max="9" width="12.5714285714286" customWidth="1"/>
    <col min="10" max="10" width="14.4285714285714" customWidth="1"/>
  </cols>
  <sheetData>
    <row r="1" spans="1:7" ht="15" customHeight="1">
      <c r="A1" s="20"/>
      <c r="B1" s="78"/>
      <c r="C1" s="20"/>
      <c r="D1" s="21"/>
      <c r="E1" s="21"/>
      <c r="F1" s="20"/>
      <c r="G1" s="21"/>
    </row>
    <row r="2" spans="1:8" ht="15" customHeight="1">
      <c r="A2" s="20"/>
      <c r="B2" s="78"/>
      <c r="C2" s="20"/>
      <c r="E2" s="19"/>
      <c r="F2" s="20"/>
      <c r="G2" s="19"/>
      <c r="H2" s="127" t="s">
        <v>262</v>
      </c>
    </row>
    <row r="3" spans="1:8" ht="15" customHeight="1">
      <c r="A3" s="20"/>
      <c r="B3" s="78"/>
      <c r="C3" s="20"/>
      <c r="D3" s="19"/>
      <c r="E3" s="19"/>
      <c r="F3" s="20"/>
      <c r="G3" s="19"/>
      <c r="H3" s="128" t="s">
        <v>832</v>
      </c>
    </row>
    <row r="4" spans="1:8" ht="15" customHeight="1">
      <c r="A4" s="20"/>
      <c r="B4" s="78"/>
      <c r="C4" s="20"/>
      <c r="D4" s="19"/>
      <c r="E4" s="19"/>
      <c r="F4" s="20"/>
      <c r="G4" s="19"/>
      <c r="H4" s="128" t="s">
        <v>849</v>
      </c>
    </row>
    <row r="5" spans="1:8" ht="15" customHeight="1">
      <c r="A5" s="20"/>
      <c r="B5" s="78"/>
      <c r="C5" s="20"/>
      <c r="D5" s="20"/>
      <c r="E5" s="20"/>
      <c r="F5" s="20"/>
      <c r="G5" s="20"/>
      <c r="H5" s="128" t="s">
        <v>838</v>
      </c>
    </row>
    <row r="6" spans="1:8" ht="15" customHeight="1">
      <c r="A6" s="20"/>
      <c r="B6" s="78"/>
      <c r="C6" s="20"/>
      <c r="D6" s="20"/>
      <c r="E6" s="20"/>
      <c r="F6" s="20"/>
      <c r="G6" s="20"/>
      <c r="H6" s="128" t="s">
        <v>766</v>
      </c>
    </row>
    <row r="7" spans="1:8" ht="15" customHeight="1">
      <c r="A7" s="20"/>
      <c r="B7" s="78"/>
      <c r="C7" s="20"/>
      <c r="D7" s="20"/>
      <c r="E7" s="20"/>
      <c r="F7" s="20"/>
      <c r="G7" s="20"/>
      <c r="H7" s="128"/>
    </row>
    <row r="8" spans="1:8" ht="15" customHeight="1">
      <c r="A8" s="20"/>
      <c r="B8" s="78"/>
      <c r="C8" s="20"/>
      <c r="D8" s="20"/>
      <c r="E8" s="20"/>
      <c r="F8" s="20"/>
      <c r="G8" s="20"/>
      <c r="H8" s="127" t="s">
        <v>262</v>
      </c>
    </row>
    <row r="9" spans="1:8" ht="15" customHeight="1">
      <c r="A9" s="20"/>
      <c r="B9" s="78"/>
      <c r="C9" s="20"/>
      <c r="D9" s="20"/>
      <c r="E9" s="20"/>
      <c r="F9" s="20"/>
      <c r="G9" s="20"/>
      <c r="H9" s="128" t="s">
        <v>832</v>
      </c>
    </row>
    <row r="10" spans="1:8" ht="15" customHeight="1">
      <c r="A10" s="20"/>
      <c r="B10" s="78"/>
      <c r="C10" s="20"/>
      <c r="D10" s="20"/>
      <c r="E10" s="20"/>
      <c r="F10" s="20"/>
      <c r="G10" s="20"/>
      <c r="H10" s="128" t="s">
        <v>833</v>
      </c>
    </row>
    <row r="11" spans="1:8" ht="15" customHeight="1">
      <c r="A11" s="20"/>
      <c r="B11" s="78"/>
      <c r="C11" s="20"/>
      <c r="D11" s="20"/>
      <c r="E11" s="20"/>
      <c r="F11" s="20"/>
      <c r="G11" s="20"/>
      <c r="H11" s="128" t="s">
        <v>766</v>
      </c>
    </row>
    <row r="12" spans="1:8" ht="15" customHeight="1">
      <c r="A12" s="19"/>
      <c r="B12" s="172"/>
      <c r="C12" s="172"/>
      <c r="D12" s="172"/>
      <c r="E12" s="172"/>
      <c r="F12" s="172"/>
      <c r="G12" s="172"/>
      <c r="H12" s="129"/>
    </row>
    <row r="13" spans="1:8" ht="15" customHeight="1">
      <c r="A13" s="20"/>
      <c r="B13" s="173"/>
      <c r="C13" s="173" t="s">
        <v>769</v>
      </c>
      <c r="D13" s="173"/>
      <c r="E13" s="173"/>
      <c r="F13" s="173"/>
      <c r="G13" s="173"/>
      <c r="H13" s="129"/>
    </row>
    <row r="14" spans="1:8" ht="15" customHeight="1">
      <c r="A14" s="20"/>
      <c r="B14" s="104"/>
      <c r="C14" s="22"/>
      <c r="D14" s="23"/>
      <c r="E14" s="23"/>
      <c r="F14" s="23"/>
      <c r="G14" s="23"/>
      <c r="H14" s="130"/>
    </row>
    <row r="15" spans="1:8" ht="15" customHeight="1">
      <c r="A15" s="2" t="s">
        <v>263</v>
      </c>
      <c r="B15" s="3" t="s">
        <v>264</v>
      </c>
      <c r="C15" s="18"/>
      <c r="D15" s="204" t="s">
        <v>265</v>
      </c>
      <c r="E15" s="205"/>
      <c r="F15" s="205"/>
      <c r="G15" s="206"/>
      <c r="H15" s="4" t="s">
        <v>266</v>
      </c>
    </row>
    <row r="16" spans="1:8" ht="45" customHeight="1">
      <c r="A16" s="1"/>
      <c r="B16" s="3"/>
      <c r="C16" s="63" t="s">
        <v>687</v>
      </c>
      <c r="D16" s="63" t="s">
        <v>267</v>
      </c>
      <c r="E16" s="63" t="s">
        <v>268</v>
      </c>
      <c r="F16" s="63" t="s">
        <v>269</v>
      </c>
      <c r="G16" s="63" t="s">
        <v>270</v>
      </c>
      <c r="H16" s="4"/>
    </row>
    <row r="17" spans="1:10" ht="15" customHeight="1">
      <c r="A17" s="18"/>
      <c r="B17" s="15"/>
      <c r="C17" s="64">
        <f t="shared" si="0" ref="C17:H17">C18+C50+C54+C110+C179+C190+C236+C300+C87</f>
        <v>938499</v>
      </c>
      <c r="D17" s="64">
        <f t="shared" si="0"/>
        <v>20615655.23</v>
      </c>
      <c r="E17" s="64">
        <f t="shared" si="0"/>
        <v>4910472</v>
      </c>
      <c r="F17" s="64">
        <f t="shared" si="0"/>
        <v>7699281</v>
      </c>
      <c r="G17" s="64">
        <f t="shared" si="0"/>
        <v>1071702</v>
      </c>
      <c r="H17" s="54">
        <f t="shared" si="0"/>
        <v>35235609.230000004</v>
      </c>
      <c r="I17" s="77"/>
      <c r="J17" s="77"/>
    </row>
    <row r="18" spans="1:10" ht="15" customHeight="1">
      <c r="A18" s="17" t="s">
        <v>271</v>
      </c>
      <c r="B18" s="85" t="s">
        <v>272</v>
      </c>
      <c r="C18" s="65">
        <f>SUM(C19:C49)</f>
        <v>5614</v>
      </c>
      <c r="D18" s="65">
        <f t="shared" si="1" ref="D18:G18">SUM(D19:D49)</f>
        <v>3684427</v>
      </c>
      <c r="E18" s="65">
        <f t="shared" si="1"/>
        <v>12862</v>
      </c>
      <c r="F18" s="65">
        <f t="shared" si="1"/>
        <v>30729</v>
      </c>
      <c r="G18" s="65">
        <f t="shared" si="1"/>
        <v>0</v>
      </c>
      <c r="H18" s="54">
        <f>SUM(H19:H49)</f>
        <v>3733632</v>
      </c>
      <c r="I18" s="77"/>
      <c r="J18" s="77"/>
    </row>
    <row r="19" spans="1:10" ht="15" customHeight="1">
      <c r="A19" s="58"/>
      <c r="B19" s="86" t="s">
        <v>1</v>
      </c>
      <c r="C19" s="66"/>
      <c r="D19" s="56">
        <f>H19-E19-G19-F19-C19</f>
        <v>1522773</v>
      </c>
      <c r="E19" s="56"/>
      <c r="F19" s="56"/>
      <c r="G19" s="56"/>
      <c r="H19" s="54">
        <f>'4.pielikums'!B18</f>
        <v>1522773</v>
      </c>
      <c r="I19" s="77"/>
      <c r="J19" s="77"/>
    </row>
    <row r="20" spans="1:10" ht="15" customHeight="1">
      <c r="A20" s="58"/>
      <c r="B20" s="86" t="s">
        <v>2</v>
      </c>
      <c r="C20" s="66"/>
      <c r="D20" s="56">
        <f t="shared" si="2" ref="D20:D81">H20-E20-G20-F20-C20</f>
        <v>127701</v>
      </c>
      <c r="E20" s="56"/>
      <c r="F20" s="56"/>
      <c r="G20" s="56"/>
      <c r="H20" s="54">
        <f>'4.pielikums'!B19</f>
        <v>127701</v>
      </c>
      <c r="I20" s="77"/>
      <c r="J20" s="77"/>
    </row>
    <row r="21" spans="1:10" ht="30" customHeight="1">
      <c r="A21" s="58"/>
      <c r="B21" s="97" t="s">
        <v>180</v>
      </c>
      <c r="C21" s="61"/>
      <c r="D21" s="56">
        <f t="shared" si="2"/>
        <v>255015</v>
      </c>
      <c r="E21" s="56"/>
      <c r="F21" s="56"/>
      <c r="G21" s="56"/>
      <c r="H21" s="54">
        <f>'4.pielikums'!B20</f>
        <v>255015</v>
      </c>
      <c r="I21" s="77"/>
      <c r="J21" s="77"/>
    </row>
    <row r="22" spans="1:10" ht="15" customHeight="1">
      <c r="A22" s="58"/>
      <c r="B22" s="97" t="s">
        <v>212</v>
      </c>
      <c r="C22" s="61"/>
      <c r="D22" s="56">
        <f t="shared" si="2"/>
        <v>30000</v>
      </c>
      <c r="E22" s="56"/>
      <c r="F22" s="56"/>
      <c r="G22" s="56"/>
      <c r="H22" s="54">
        <f>'4.pielikums'!B21</f>
        <v>30000</v>
      </c>
      <c r="I22" s="77"/>
      <c r="J22" s="77"/>
    </row>
    <row r="23" spans="1:10" ht="15" customHeight="1">
      <c r="A23" s="58"/>
      <c r="B23" s="97" t="s">
        <v>205</v>
      </c>
      <c r="C23" s="61"/>
      <c r="D23" s="56">
        <f>H23-E23-G23-F23-C23</f>
        <v>46653</v>
      </c>
      <c r="E23" s="56"/>
      <c r="F23" s="56"/>
      <c r="G23" s="56"/>
      <c r="H23" s="54">
        <f>'4.pielikums'!B23</f>
        <v>46653</v>
      </c>
      <c r="I23" s="77"/>
      <c r="J23" s="77"/>
    </row>
    <row r="24" spans="1:10" ht="15" customHeight="1">
      <c r="A24" s="58"/>
      <c r="B24" s="98" t="s">
        <v>3</v>
      </c>
      <c r="C24" s="66"/>
      <c r="D24" s="56">
        <f t="shared" si="2"/>
        <v>37935</v>
      </c>
      <c r="E24" s="56">
        <v>115</v>
      </c>
      <c r="F24" s="56"/>
      <c r="G24" s="56"/>
      <c r="H24" s="54">
        <f>'4.pielikums'!B24</f>
        <v>38050</v>
      </c>
      <c r="I24" s="77"/>
      <c r="J24" s="77"/>
    </row>
    <row r="25" spans="1:10" ht="15" customHeight="1">
      <c r="A25" s="58"/>
      <c r="B25" s="98" t="s">
        <v>95</v>
      </c>
      <c r="C25" s="66"/>
      <c r="D25" s="56">
        <f t="shared" si="2"/>
        <v>59813</v>
      </c>
      <c r="E25" s="56">
        <v>305</v>
      </c>
      <c r="F25" s="56"/>
      <c r="G25" s="56"/>
      <c r="H25" s="54">
        <f>'4.pielikums'!B25</f>
        <v>60118</v>
      </c>
      <c r="I25" s="77"/>
      <c r="J25" s="77"/>
    </row>
    <row r="26" spans="1:10" ht="15" customHeight="1">
      <c r="A26" s="58"/>
      <c r="B26" s="98" t="s">
        <v>4</v>
      </c>
      <c r="C26" s="66"/>
      <c r="D26" s="56">
        <f t="shared" si="2"/>
        <v>26739</v>
      </c>
      <c r="E26" s="56"/>
      <c r="F26" s="56"/>
      <c r="G26" s="56"/>
      <c r="H26" s="54">
        <f>'4.pielikums'!B26</f>
        <v>26739</v>
      </c>
      <c r="I26" s="77"/>
      <c r="J26" s="77"/>
    </row>
    <row r="27" spans="1:10" ht="15" customHeight="1">
      <c r="A27" s="58"/>
      <c r="B27" s="98" t="s">
        <v>5</v>
      </c>
      <c r="C27" s="66"/>
      <c r="D27" s="56">
        <f t="shared" si="2"/>
        <v>39943</v>
      </c>
      <c r="E27" s="55">
        <v>910</v>
      </c>
      <c r="F27" s="56"/>
      <c r="G27" s="56"/>
      <c r="H27" s="54">
        <f>'4.pielikums'!B27</f>
        <v>40853</v>
      </c>
      <c r="I27" s="77"/>
      <c r="J27" s="77"/>
    </row>
    <row r="28" spans="1:10" ht="15" customHeight="1">
      <c r="A28" s="58"/>
      <c r="B28" s="98" t="s">
        <v>6</v>
      </c>
      <c r="C28" s="66"/>
      <c r="D28" s="56">
        <f t="shared" si="2"/>
        <v>24622</v>
      </c>
      <c r="E28" s="56"/>
      <c r="F28" s="56"/>
      <c r="G28" s="56"/>
      <c r="H28" s="54">
        <f>'4.pielikums'!B28</f>
        <v>24622</v>
      </c>
      <c r="I28" s="77"/>
      <c r="J28" s="77"/>
    </row>
    <row r="29" spans="1:10" ht="15" customHeight="1">
      <c r="A29" s="58"/>
      <c r="B29" s="98" t="s">
        <v>7</v>
      </c>
      <c r="C29" s="66"/>
      <c r="D29" s="56">
        <f t="shared" si="2"/>
        <v>32263</v>
      </c>
      <c r="E29" s="56">
        <v>85</v>
      </c>
      <c r="F29" s="56"/>
      <c r="G29" s="56"/>
      <c r="H29" s="54">
        <f>'4.pielikums'!B29</f>
        <v>32348</v>
      </c>
      <c r="I29" s="77"/>
      <c r="J29" s="77"/>
    </row>
    <row r="30" spans="1:10" ht="15" customHeight="1">
      <c r="A30" s="58"/>
      <c r="B30" s="98" t="s">
        <v>8</v>
      </c>
      <c r="C30" s="66"/>
      <c r="D30" s="56">
        <f t="shared" si="2"/>
        <v>40674</v>
      </c>
      <c r="E30" s="56">
        <v>0</v>
      </c>
      <c r="F30" s="56"/>
      <c r="G30" s="56"/>
      <c r="H30" s="54">
        <f>'4.pielikums'!B30</f>
        <v>40674</v>
      </c>
      <c r="I30" s="77"/>
      <c r="J30" s="77"/>
    </row>
    <row r="31" spans="1:10" ht="15" customHeight="1">
      <c r="A31" s="58"/>
      <c r="B31" s="98" t="s">
        <v>96</v>
      </c>
      <c r="C31" s="66"/>
      <c r="D31" s="56">
        <f t="shared" si="2"/>
        <v>44556</v>
      </c>
      <c r="E31" s="56">
        <v>0</v>
      </c>
      <c r="F31" s="56"/>
      <c r="G31" s="56"/>
      <c r="H31" s="54">
        <f>'4.pielikums'!B31</f>
        <v>44556</v>
      </c>
      <c r="I31" s="77"/>
      <c r="J31" s="77"/>
    </row>
    <row r="32" spans="1:10" ht="15" customHeight="1">
      <c r="A32" s="58"/>
      <c r="B32" s="98" t="s">
        <v>137</v>
      </c>
      <c r="C32" s="66"/>
      <c r="D32" s="56">
        <f t="shared" si="2"/>
        <v>30856</v>
      </c>
      <c r="E32" s="56"/>
      <c r="F32" s="56"/>
      <c r="G32" s="56"/>
      <c r="H32" s="54">
        <f>'4.pielikums'!B32</f>
        <v>30856</v>
      </c>
      <c r="I32" s="77"/>
      <c r="J32" s="77"/>
    </row>
    <row r="33" spans="1:10" ht="15" customHeight="1">
      <c r="A33" s="58"/>
      <c r="B33" s="98" t="s">
        <v>9</v>
      </c>
      <c r="C33" s="66"/>
      <c r="D33" s="56">
        <f>H33-E33-G33-F33-C33</f>
        <v>20735</v>
      </c>
      <c r="E33" s="56"/>
      <c r="F33" s="56"/>
      <c r="G33" s="56"/>
      <c r="H33" s="54">
        <f>'4.pielikums'!B33</f>
        <v>20735</v>
      </c>
      <c r="I33" s="77"/>
      <c r="J33" s="77"/>
    </row>
    <row r="34" spans="1:10" ht="15" customHeight="1">
      <c r="A34" s="58"/>
      <c r="B34" s="97" t="s">
        <v>97</v>
      </c>
      <c r="C34" s="61"/>
      <c r="D34" s="56">
        <f t="shared" si="2"/>
        <v>34119</v>
      </c>
      <c r="E34" s="91"/>
      <c r="F34" s="56"/>
      <c r="G34" s="56"/>
      <c r="H34" s="54">
        <f>'4.pielikums'!B34</f>
        <v>34119</v>
      </c>
      <c r="I34" s="77"/>
      <c r="J34" s="77"/>
    </row>
    <row r="35" spans="1:10" ht="15" customHeight="1">
      <c r="A35" s="58"/>
      <c r="B35" s="97" t="s">
        <v>273</v>
      </c>
      <c r="C35" s="61"/>
      <c r="D35" s="56">
        <f t="shared" si="2"/>
        <v>37292</v>
      </c>
      <c r="E35" s="56">
        <v>1200</v>
      </c>
      <c r="F35" s="56"/>
      <c r="G35" s="56"/>
      <c r="H35" s="54">
        <f>'4.pielikums'!B35</f>
        <v>38492</v>
      </c>
      <c r="I35" s="77"/>
      <c r="J35" s="77"/>
    </row>
    <row r="36" spans="1:10" ht="15" customHeight="1">
      <c r="A36" s="58"/>
      <c r="B36" s="97" t="s">
        <v>98</v>
      </c>
      <c r="C36" s="61"/>
      <c r="D36" s="56">
        <f t="shared" si="2"/>
        <v>20500</v>
      </c>
      <c r="E36" s="56"/>
      <c r="F36" s="56"/>
      <c r="G36" s="56"/>
      <c r="H36" s="54">
        <f>'4.pielikums'!B36</f>
        <v>20500</v>
      </c>
      <c r="I36" s="77"/>
      <c r="J36" s="77"/>
    </row>
    <row r="37" spans="1:10" ht="15" customHeight="1">
      <c r="A37" s="58"/>
      <c r="B37" s="97" t="s">
        <v>99</v>
      </c>
      <c r="C37" s="61"/>
      <c r="D37" s="56">
        <f t="shared" si="2"/>
        <v>44173</v>
      </c>
      <c r="E37" s="56"/>
      <c r="F37" s="56"/>
      <c r="G37" s="56"/>
      <c r="H37" s="54">
        <f>'4.pielikums'!B37</f>
        <v>44173</v>
      </c>
      <c r="I37" s="77"/>
      <c r="J37" s="77"/>
    </row>
    <row r="38" spans="1:10" ht="15" customHeight="1">
      <c r="A38" s="58"/>
      <c r="B38" s="98" t="s">
        <v>10</v>
      </c>
      <c r="C38" s="66"/>
      <c r="D38" s="56">
        <f t="shared" si="2"/>
        <v>35893</v>
      </c>
      <c r="E38" s="56">
        <f>500</f>
        <v>500</v>
      </c>
      <c r="F38" s="56"/>
      <c r="G38" s="56"/>
      <c r="H38" s="54">
        <f>'4.pielikums'!B38</f>
        <v>36393</v>
      </c>
      <c r="I38" s="77"/>
      <c r="J38" s="77"/>
    </row>
    <row r="39" spans="1:10" ht="15" customHeight="1">
      <c r="A39" s="58"/>
      <c r="B39" s="98" t="s">
        <v>11</v>
      </c>
      <c r="C39" s="66"/>
      <c r="D39" s="56">
        <f t="shared" si="2"/>
        <v>30369</v>
      </c>
      <c r="E39" s="56"/>
      <c r="F39" s="56"/>
      <c r="G39" s="56"/>
      <c r="H39" s="54">
        <f>'4.pielikums'!B39</f>
        <v>30369</v>
      </c>
      <c r="I39" s="77"/>
      <c r="J39" s="77"/>
    </row>
    <row r="40" spans="1:10" ht="15" customHeight="1">
      <c r="A40" s="58"/>
      <c r="B40" s="98" t="s">
        <v>100</v>
      </c>
      <c r="C40" s="66"/>
      <c r="D40" s="56">
        <f t="shared" si="2"/>
        <v>31242</v>
      </c>
      <c r="E40" s="56"/>
      <c r="F40" s="56"/>
      <c r="G40" s="56"/>
      <c r="H40" s="54">
        <f>'4.pielikums'!B40</f>
        <v>31242</v>
      </c>
      <c r="I40" s="77"/>
      <c r="J40" s="77"/>
    </row>
    <row r="41" spans="1:10" ht="15" customHeight="1">
      <c r="A41" s="58"/>
      <c r="B41" s="98" t="s">
        <v>12</v>
      </c>
      <c r="C41" s="66"/>
      <c r="D41" s="56">
        <f t="shared" si="2"/>
        <v>39006</v>
      </c>
      <c r="E41" s="56">
        <f>67</f>
        <v>67</v>
      </c>
      <c r="F41" s="56"/>
      <c r="G41" s="56"/>
      <c r="H41" s="54">
        <f>'4.pielikums'!B41</f>
        <v>39073</v>
      </c>
      <c r="I41" s="77"/>
      <c r="J41" s="77"/>
    </row>
    <row r="42" spans="1:10" ht="15" customHeight="1">
      <c r="A42" s="58"/>
      <c r="B42" s="97" t="s">
        <v>93</v>
      </c>
      <c r="C42" s="61"/>
      <c r="D42" s="56">
        <f t="shared" si="2"/>
        <v>50449</v>
      </c>
      <c r="E42" s="56">
        <v>1130</v>
      </c>
      <c r="F42" s="56"/>
      <c r="G42" s="56"/>
      <c r="H42" s="54">
        <f>'4.pielikums'!B42</f>
        <v>51579</v>
      </c>
      <c r="I42" s="77"/>
      <c r="J42" s="77"/>
    </row>
    <row r="43" spans="1:10" ht="15" customHeight="1">
      <c r="A43" s="58"/>
      <c r="B43" s="97" t="s">
        <v>101</v>
      </c>
      <c r="C43" s="61"/>
      <c r="D43" s="56">
        <f t="shared" si="2"/>
        <v>34189</v>
      </c>
      <c r="E43" s="56"/>
      <c r="F43" s="56"/>
      <c r="G43" s="56"/>
      <c r="H43" s="54">
        <f>'4.pielikums'!B43</f>
        <v>34189</v>
      </c>
      <c r="I43" s="77"/>
      <c r="J43" s="77"/>
    </row>
    <row r="44" spans="1:10" ht="30" customHeight="1">
      <c r="A44" s="58"/>
      <c r="B44" s="97" t="s">
        <v>94</v>
      </c>
      <c r="C44" s="61"/>
      <c r="D44" s="56">
        <f t="shared" si="2"/>
        <v>57276</v>
      </c>
      <c r="E44" s="56">
        <v>8550</v>
      </c>
      <c r="F44" s="56">
        <v>26000</v>
      </c>
      <c r="G44" s="56"/>
      <c r="H44" s="54">
        <f>'4.pielikums'!B44</f>
        <v>91826</v>
      </c>
      <c r="I44" s="77"/>
      <c r="J44" s="77"/>
    </row>
    <row r="45" spans="1:10" ht="30" customHeight="1">
      <c r="A45" s="58"/>
      <c r="B45" s="97" t="s">
        <v>183</v>
      </c>
      <c r="C45" s="61"/>
      <c r="D45" s="56">
        <f t="shared" si="2"/>
        <v>881967</v>
      </c>
      <c r="E45" s="56"/>
      <c r="F45" s="56"/>
      <c r="G45" s="56"/>
      <c r="H45" s="54">
        <f>'4.pielikums'!B47</f>
        <v>881967</v>
      </c>
      <c r="I45" s="77"/>
      <c r="J45" s="77"/>
    </row>
    <row r="46" spans="1:10" ht="15" customHeight="1">
      <c r="A46" s="58"/>
      <c r="B46" s="74" t="s">
        <v>13</v>
      </c>
      <c r="C46" s="61"/>
      <c r="D46" s="56">
        <f t="shared" si="2"/>
        <v>6000</v>
      </c>
      <c r="E46" s="56"/>
      <c r="F46" s="56"/>
      <c r="G46" s="56"/>
      <c r="H46" s="54">
        <f>'4.pielikums'!B45</f>
        <v>6000</v>
      </c>
      <c r="I46" s="77"/>
      <c r="J46" s="77"/>
    </row>
    <row r="47" spans="1:10" ht="15" customHeight="1">
      <c r="A47" s="58"/>
      <c r="B47" s="86" t="s">
        <v>14</v>
      </c>
      <c r="C47" s="66"/>
      <c r="D47" s="56">
        <f t="shared" si="2"/>
        <v>41674</v>
      </c>
      <c r="E47" s="56"/>
      <c r="F47" s="56"/>
      <c r="G47" s="56"/>
      <c r="H47" s="54">
        <f>'4.pielikums'!B46</f>
        <v>41674</v>
      </c>
      <c r="I47" s="77"/>
      <c r="J47" s="77"/>
    </row>
    <row r="48" spans="1:10" ht="15" customHeight="1">
      <c r="A48" s="58"/>
      <c r="B48" s="86" t="s">
        <v>818</v>
      </c>
      <c r="C48" s="66"/>
      <c r="D48" s="56">
        <f t="shared" si="2"/>
        <v>0</v>
      </c>
      <c r="E48" s="56"/>
      <c r="F48" s="56">
        <v>4729</v>
      </c>
      <c r="G48" s="56"/>
      <c r="H48" s="54">
        <f>'4.pielikums'!B22</f>
        <v>4729</v>
      </c>
      <c r="I48" s="77"/>
      <c r="J48" s="77"/>
    </row>
    <row r="49" spans="1:10" ht="15" customHeight="1">
      <c r="A49" s="58"/>
      <c r="B49" s="86" t="s">
        <v>783</v>
      </c>
      <c r="C49" s="66">
        <v>5614</v>
      </c>
      <c r="D49" s="56"/>
      <c r="E49" s="56"/>
      <c r="F49" s="56"/>
      <c r="G49" s="56"/>
      <c r="H49" s="54">
        <f>'4.pielikums'!B317</f>
        <v>5614</v>
      </c>
      <c r="I49" s="77"/>
      <c r="J49" s="77"/>
    </row>
    <row r="50" spans="1:10" ht="15" customHeight="1">
      <c r="A50" s="17" t="s">
        <v>274</v>
      </c>
      <c r="B50" s="87" t="s">
        <v>275</v>
      </c>
      <c r="C50" s="65">
        <f>SUM(C51:C53)</f>
        <v>0</v>
      </c>
      <c r="D50" s="65">
        <f t="shared" si="3" ref="D50:G50">SUM(D51:D53)</f>
        <v>290229</v>
      </c>
      <c r="E50" s="65">
        <f t="shared" si="3"/>
        <v>24440</v>
      </c>
      <c r="F50" s="65">
        <f t="shared" si="3"/>
        <v>8025</v>
      </c>
      <c r="G50" s="65">
        <f t="shared" si="3"/>
        <v>0</v>
      </c>
      <c r="H50" s="54">
        <f>SUM(H51:H53)</f>
        <v>322694</v>
      </c>
      <c r="I50" s="77"/>
      <c r="J50" s="77"/>
    </row>
    <row r="51" spans="1:10" ht="15" customHeight="1">
      <c r="A51" s="67"/>
      <c r="B51" s="86" t="s">
        <v>15</v>
      </c>
      <c r="C51" s="66"/>
      <c r="D51" s="56">
        <f t="shared" si="2"/>
        <v>71921</v>
      </c>
      <c r="E51" s="95">
        <f>1400+1340+1200</f>
        <v>3940</v>
      </c>
      <c r="F51" s="56"/>
      <c r="G51" s="56"/>
      <c r="H51" s="54">
        <f>'4.pielikums'!B48</f>
        <v>75861</v>
      </c>
      <c r="I51" s="77"/>
      <c r="J51" s="77"/>
    </row>
    <row r="52" spans="1:10" ht="15" customHeight="1">
      <c r="A52" s="58"/>
      <c r="B52" s="86" t="s">
        <v>16</v>
      </c>
      <c r="C52" s="66"/>
      <c r="D52" s="56">
        <f t="shared" si="2"/>
        <v>179947</v>
      </c>
      <c r="E52" s="95">
        <v>2000</v>
      </c>
      <c r="F52" s="56"/>
      <c r="G52" s="56"/>
      <c r="H52" s="54">
        <f>'4.pielikums'!B49</f>
        <v>181947</v>
      </c>
      <c r="I52" s="77"/>
      <c r="J52" s="77"/>
    </row>
    <row r="53" spans="1:10" ht="15" customHeight="1">
      <c r="A53" s="58"/>
      <c r="B53" s="86" t="s">
        <v>60</v>
      </c>
      <c r="C53" s="66"/>
      <c r="D53" s="56">
        <f t="shared" si="2"/>
        <v>38361</v>
      </c>
      <c r="E53" s="95">
        <v>18500</v>
      </c>
      <c r="F53" s="56">
        <v>8025</v>
      </c>
      <c r="G53" s="56"/>
      <c r="H53" s="54">
        <f>'4.pielikums'!B50</f>
        <v>64886</v>
      </c>
      <c r="I53" s="77"/>
      <c r="J53" s="77"/>
    </row>
    <row r="54" spans="1:10" ht="15" customHeight="1">
      <c r="A54" s="17" t="s">
        <v>276</v>
      </c>
      <c r="B54" s="85" t="s">
        <v>277</v>
      </c>
      <c r="C54" s="70">
        <f>SUM(C55:C86)</f>
        <v>469913</v>
      </c>
      <c r="D54" s="70">
        <f t="shared" si="4" ref="D54:G54">SUM(D55:D86)</f>
        <v>300432</v>
      </c>
      <c r="E54" s="70">
        <f t="shared" si="4"/>
        <v>19750</v>
      </c>
      <c r="F54" s="70">
        <f t="shared" si="4"/>
        <v>1077702</v>
      </c>
      <c r="G54" s="70">
        <f t="shared" si="4"/>
        <v>310704</v>
      </c>
      <c r="H54" s="54">
        <f>SUM(H55:H86)</f>
        <v>2178501</v>
      </c>
      <c r="I54" s="77"/>
      <c r="J54" s="77"/>
    </row>
    <row r="55" spans="1:10" ht="15" customHeight="1">
      <c r="A55" s="67"/>
      <c r="B55" s="86" t="s">
        <v>278</v>
      </c>
      <c r="C55" s="66"/>
      <c r="D55" s="56">
        <f t="shared" si="2"/>
        <v>49824</v>
      </c>
      <c r="E55" s="95">
        <f>10000</f>
        <v>10000</v>
      </c>
      <c r="F55" s="56"/>
      <c r="G55" s="56"/>
      <c r="H55" s="54">
        <f>'4.pielikums'!B51</f>
        <v>59824</v>
      </c>
      <c r="I55" s="77"/>
      <c r="J55" s="77"/>
    </row>
    <row r="56" spans="1:10" ht="30" customHeight="1">
      <c r="A56" s="58"/>
      <c r="B56" s="74" t="s">
        <v>279</v>
      </c>
      <c r="C56" s="61"/>
      <c r="D56" s="56">
        <f t="shared" si="2"/>
        <v>89707</v>
      </c>
      <c r="E56" s="56">
        <v>4000</v>
      </c>
      <c r="F56" s="91"/>
      <c r="G56" s="56"/>
      <c r="H56" s="54">
        <f>'4.pielikums'!B54</f>
        <v>93707</v>
      </c>
      <c r="I56" s="77"/>
      <c r="J56" s="77"/>
    </row>
    <row r="57" spans="1:10" ht="23.25" customHeight="1">
      <c r="A57" s="58"/>
      <c r="B57" s="74" t="s">
        <v>139</v>
      </c>
      <c r="C57" s="61">
        <v>9632</v>
      </c>
      <c r="D57" s="56">
        <f t="shared" si="2"/>
        <v>743</v>
      </c>
      <c r="E57" s="56"/>
      <c r="F57" s="55">
        <v>60100</v>
      </c>
      <c r="G57" s="56"/>
      <c r="H57" s="54">
        <f>'4.pielikums'!B78</f>
        <v>70475</v>
      </c>
      <c r="I57" s="77"/>
      <c r="J57" s="77"/>
    </row>
    <row r="58" spans="1:11" ht="15" customHeight="1">
      <c r="A58" s="68"/>
      <c r="B58" s="73" t="s">
        <v>68</v>
      </c>
      <c r="C58" s="61"/>
      <c r="D58" s="56">
        <f>H58-E58-G58-F58-C58</f>
        <v>0</v>
      </c>
      <c r="E58" s="56"/>
      <c r="F58" s="56">
        <v>104110</v>
      </c>
      <c r="G58" s="56"/>
      <c r="H58" s="54">
        <f>'4.pielikums'!B56</f>
        <v>104110</v>
      </c>
      <c r="I58" s="77"/>
      <c r="J58" s="77"/>
      <c r="K58" s="82"/>
    </row>
    <row r="59" spans="1:10" ht="30" customHeight="1">
      <c r="A59" s="68"/>
      <c r="B59" s="73" t="s">
        <v>222</v>
      </c>
      <c r="C59" s="61">
        <v>8828</v>
      </c>
      <c r="D59" s="56">
        <f t="shared" si="2"/>
        <v>0</v>
      </c>
      <c r="E59" s="56"/>
      <c r="F59" s="56">
        <v>56751</v>
      </c>
      <c r="G59" s="56"/>
      <c r="H59" s="54">
        <f>'4.pielikums'!B57</f>
        <v>65579</v>
      </c>
      <c r="I59" s="77"/>
      <c r="J59" s="77"/>
    </row>
    <row r="60" spans="1:10" ht="30" customHeight="1">
      <c r="A60" s="68"/>
      <c r="B60" s="73" t="s">
        <v>69</v>
      </c>
      <c r="C60" s="60">
        <v>649</v>
      </c>
      <c r="D60" s="56">
        <f t="shared" si="2"/>
        <v>0</v>
      </c>
      <c r="E60" s="56"/>
      <c r="F60" s="56">
        <v>27900</v>
      </c>
      <c r="G60" s="56"/>
      <c r="H60" s="54">
        <f>'4.pielikums'!B58</f>
        <v>28549</v>
      </c>
      <c r="I60" s="77"/>
      <c r="J60" s="77"/>
    </row>
    <row r="61" spans="1:10" ht="30" customHeight="1">
      <c r="A61" s="68"/>
      <c r="B61" s="73" t="s">
        <v>70</v>
      </c>
      <c r="C61" s="60">
        <v>4366</v>
      </c>
      <c r="D61" s="56">
        <f t="shared" si="2"/>
        <v>0</v>
      </c>
      <c r="E61" s="56"/>
      <c r="F61" s="56">
        <v>20386</v>
      </c>
      <c r="G61" s="56"/>
      <c r="H61" s="54">
        <f>'4.pielikums'!B59</f>
        <v>24752</v>
      </c>
      <c r="I61" s="77"/>
      <c r="J61" s="77"/>
    </row>
    <row r="62" spans="1:10" ht="30" customHeight="1">
      <c r="A62" s="68"/>
      <c r="B62" s="73" t="s">
        <v>71</v>
      </c>
      <c r="C62" s="60">
        <v>25610</v>
      </c>
      <c r="D62" s="56">
        <f t="shared" si="2"/>
        <v>0</v>
      </c>
      <c r="E62" s="56"/>
      <c r="F62" s="56">
        <v>44096</v>
      </c>
      <c r="G62" s="56"/>
      <c r="H62" s="54">
        <f>'4.pielikums'!B60</f>
        <v>69706</v>
      </c>
      <c r="I62" s="77"/>
      <c r="J62" s="77"/>
    </row>
    <row r="63" spans="1:10" ht="30" customHeight="1">
      <c r="A63" s="68"/>
      <c r="B63" s="73" t="s">
        <v>72</v>
      </c>
      <c r="C63" s="60">
        <v>14147</v>
      </c>
      <c r="D63" s="56">
        <f t="shared" si="2"/>
        <v>0</v>
      </c>
      <c r="E63" s="56"/>
      <c r="F63" s="56">
        <v>23821</v>
      </c>
      <c r="G63" s="56"/>
      <c r="H63" s="54">
        <f>'4.pielikums'!B61</f>
        <v>37968</v>
      </c>
      <c r="I63" s="77"/>
      <c r="J63" s="77"/>
    </row>
    <row r="64" spans="1:10" ht="30" customHeight="1">
      <c r="A64" s="68"/>
      <c r="B64" s="73" t="s">
        <v>73</v>
      </c>
      <c r="C64" s="60">
        <v>6916</v>
      </c>
      <c r="D64" s="56">
        <f>H64-E64-G64-F64-C64</f>
        <v>0</v>
      </c>
      <c r="E64" s="56"/>
      <c r="F64" s="56">
        <v>18272</v>
      </c>
      <c r="G64" s="56"/>
      <c r="H64" s="54">
        <f>'4.pielikums'!B62</f>
        <v>25188</v>
      </c>
      <c r="I64" s="77"/>
      <c r="J64" s="77"/>
    </row>
    <row r="65" spans="1:10" ht="30" customHeight="1">
      <c r="A65" s="68"/>
      <c r="B65" s="73" t="s">
        <v>74</v>
      </c>
      <c r="C65" s="60"/>
      <c r="D65" s="56">
        <f t="shared" si="2"/>
        <v>0</v>
      </c>
      <c r="E65" s="56"/>
      <c r="F65" s="56">
        <v>34470</v>
      </c>
      <c r="G65" s="56"/>
      <c r="H65" s="54">
        <f>'4.pielikums'!B63</f>
        <v>34470</v>
      </c>
      <c r="I65" s="77"/>
      <c r="J65" s="77"/>
    </row>
    <row r="66" spans="1:10" ht="30" customHeight="1">
      <c r="A66" s="68"/>
      <c r="B66" s="73" t="s">
        <v>220</v>
      </c>
      <c r="C66" s="60">
        <v>5988</v>
      </c>
      <c r="D66" s="56">
        <f t="shared" si="2"/>
        <v>0</v>
      </c>
      <c r="E66" s="56"/>
      <c r="F66" s="56">
        <v>11227</v>
      </c>
      <c r="G66" s="56"/>
      <c r="H66" s="54">
        <f>'4.pielikums'!B64</f>
        <v>17215</v>
      </c>
      <c r="I66" s="77"/>
      <c r="J66" s="77"/>
    </row>
    <row r="67" spans="1:10" ht="30" customHeight="1">
      <c r="A67" s="68"/>
      <c r="B67" s="73" t="s">
        <v>75</v>
      </c>
      <c r="C67" s="60">
        <v>624</v>
      </c>
      <c r="D67" s="56">
        <f t="shared" si="2"/>
        <v>0</v>
      </c>
      <c r="E67" s="56"/>
      <c r="F67" s="56">
        <v>14851</v>
      </c>
      <c r="G67" s="56"/>
      <c r="H67" s="54">
        <f>'4.pielikums'!B65</f>
        <v>15475</v>
      </c>
      <c r="I67" s="77"/>
      <c r="J67" s="77"/>
    </row>
    <row r="68" spans="1:10" ht="30" customHeight="1">
      <c r="A68" s="68"/>
      <c r="B68" s="73" t="s">
        <v>218</v>
      </c>
      <c r="C68" s="60">
        <v>21204</v>
      </c>
      <c r="D68" s="56">
        <f>H68-E68-G68-F68-C68</f>
        <v>0</v>
      </c>
      <c r="E68" s="56"/>
      <c r="F68" s="56">
        <v>48840</v>
      </c>
      <c r="G68" s="56"/>
      <c r="H68" s="54">
        <f>'4.pielikums'!B66</f>
        <v>70044</v>
      </c>
      <c r="I68" s="77"/>
      <c r="J68" s="77"/>
    </row>
    <row r="69" spans="1:10" ht="30" customHeight="1">
      <c r="A69" s="68"/>
      <c r="B69" s="73" t="s">
        <v>219</v>
      </c>
      <c r="C69" s="60">
        <v>4426</v>
      </c>
      <c r="D69" s="56">
        <f t="shared" si="2"/>
        <v>0</v>
      </c>
      <c r="E69" s="56"/>
      <c r="F69" s="56">
        <v>35064</v>
      </c>
      <c r="G69" s="56"/>
      <c r="H69" s="54">
        <f>'4.pielikums'!B67</f>
        <v>39490</v>
      </c>
      <c r="I69" s="77"/>
      <c r="J69" s="77"/>
    </row>
    <row r="70" spans="1:10" ht="30" customHeight="1">
      <c r="A70" s="68"/>
      <c r="B70" s="73" t="s">
        <v>221</v>
      </c>
      <c r="C70" s="60">
        <v>202031</v>
      </c>
      <c r="D70" s="56">
        <f t="shared" si="2"/>
        <v>0</v>
      </c>
      <c r="E70" s="56"/>
      <c r="F70" s="56">
        <v>70422</v>
      </c>
      <c r="G70" s="56"/>
      <c r="H70" s="54">
        <f>'4.pielikums'!B68</f>
        <v>272453</v>
      </c>
      <c r="I70" s="77"/>
      <c r="J70" s="77"/>
    </row>
    <row r="71" spans="1:10" ht="30" customHeight="1">
      <c r="A71" s="68"/>
      <c r="B71" s="73" t="s">
        <v>223</v>
      </c>
      <c r="C71" s="60">
        <v>21990</v>
      </c>
      <c r="D71" s="56">
        <f>H71-E71-G71-F71-C71</f>
        <v>0</v>
      </c>
      <c r="E71" s="56"/>
      <c r="F71" s="56">
        <v>30329</v>
      </c>
      <c r="G71" s="56"/>
      <c r="H71" s="54">
        <f>'4.pielikums'!B69</f>
        <v>52319</v>
      </c>
      <c r="I71" s="77"/>
      <c r="J71" s="77"/>
    </row>
    <row r="72" spans="1:10" ht="30" customHeight="1">
      <c r="A72" s="68"/>
      <c r="B72" s="73" t="s">
        <v>224</v>
      </c>
      <c r="C72" s="60">
        <v>31095</v>
      </c>
      <c r="D72" s="56">
        <f t="shared" si="2"/>
        <v>0</v>
      </c>
      <c r="E72" s="56"/>
      <c r="F72" s="56">
        <v>52426</v>
      </c>
      <c r="G72" s="56"/>
      <c r="H72" s="54">
        <f>'4.pielikums'!B70</f>
        <v>83521</v>
      </c>
      <c r="I72" s="77"/>
      <c r="J72" s="77"/>
    </row>
    <row r="73" spans="1:10" ht="30" customHeight="1">
      <c r="A73" s="68"/>
      <c r="B73" s="73" t="s">
        <v>76</v>
      </c>
      <c r="C73" s="60">
        <v>10270</v>
      </c>
      <c r="D73" s="56">
        <f t="shared" si="2"/>
        <v>0</v>
      </c>
      <c r="E73" s="56"/>
      <c r="F73" s="56">
        <v>38359</v>
      </c>
      <c r="G73" s="56"/>
      <c r="H73" s="54">
        <f>'4.pielikums'!B71</f>
        <v>48629</v>
      </c>
      <c r="I73" s="77"/>
      <c r="J73" s="77"/>
    </row>
    <row r="74" spans="1:10" ht="30" customHeight="1">
      <c r="A74" s="68"/>
      <c r="B74" s="73" t="s">
        <v>77</v>
      </c>
      <c r="C74" s="60">
        <v>6493</v>
      </c>
      <c r="D74" s="56">
        <f t="shared" si="2"/>
        <v>0</v>
      </c>
      <c r="E74" s="56"/>
      <c r="F74" s="56">
        <v>13853</v>
      </c>
      <c r="G74" s="56"/>
      <c r="H74" s="54">
        <f>'4.pielikums'!B72</f>
        <v>20346</v>
      </c>
      <c r="I74" s="77"/>
      <c r="J74" s="77"/>
    </row>
    <row r="75" spans="1:10" ht="30" customHeight="1">
      <c r="A75" s="68"/>
      <c r="B75" s="73" t="s">
        <v>227</v>
      </c>
      <c r="C75" s="61">
        <v>7757</v>
      </c>
      <c r="D75" s="56">
        <f t="shared" si="2"/>
        <v>0</v>
      </c>
      <c r="E75" s="56"/>
      <c r="F75" s="56">
        <v>23929</v>
      </c>
      <c r="G75" s="56"/>
      <c r="H75" s="54">
        <f>'4.pielikums'!B73</f>
        <v>31686</v>
      </c>
      <c r="I75" s="77"/>
      <c r="J75" s="77"/>
    </row>
    <row r="76" spans="1:10" ht="30" customHeight="1">
      <c r="A76" s="68"/>
      <c r="B76" s="73" t="s">
        <v>78</v>
      </c>
      <c r="C76" s="60">
        <v>6092</v>
      </c>
      <c r="D76" s="56">
        <f t="shared" si="2"/>
        <v>0</v>
      </c>
      <c r="E76" s="56"/>
      <c r="F76" s="56">
        <v>23719</v>
      </c>
      <c r="G76" s="56"/>
      <c r="H76" s="54">
        <f>'4.pielikums'!B74</f>
        <v>29811</v>
      </c>
      <c r="I76" s="77"/>
      <c r="J76" s="77"/>
    </row>
    <row r="77" spans="1:10" ht="30" customHeight="1">
      <c r="A77" s="68"/>
      <c r="B77" s="73" t="s">
        <v>225</v>
      </c>
      <c r="C77" s="60">
        <v>411</v>
      </c>
      <c r="D77" s="56">
        <f t="shared" si="2"/>
        <v>0</v>
      </c>
      <c r="E77" s="56"/>
      <c r="F77" s="56">
        <v>9382</v>
      </c>
      <c r="G77" s="56"/>
      <c r="H77" s="54">
        <f>'4.pielikums'!B75</f>
        <v>9793</v>
      </c>
      <c r="I77" s="77"/>
      <c r="J77" s="77"/>
    </row>
    <row r="78" spans="1:11" ht="30" customHeight="1">
      <c r="A78" s="68"/>
      <c r="B78" s="73" t="s">
        <v>226</v>
      </c>
      <c r="C78" s="92"/>
      <c r="D78" s="56">
        <f t="shared" si="2"/>
        <v>0</v>
      </c>
      <c r="E78" s="56"/>
      <c r="F78" s="56">
        <v>24565</v>
      </c>
      <c r="G78" s="56"/>
      <c r="H78" s="54">
        <f>'4.pielikums'!B76</f>
        <v>24565</v>
      </c>
      <c r="I78" s="77"/>
      <c r="J78" s="77"/>
      <c r="K78" s="77"/>
    </row>
    <row r="79" spans="1:12" ht="30" customHeight="1">
      <c r="A79" s="68"/>
      <c r="B79" s="105" t="s">
        <v>735</v>
      </c>
      <c r="C79" s="61">
        <f>81384-18861</f>
        <v>62523</v>
      </c>
      <c r="D79" s="56">
        <f>H79-E79-G79-F79-C79</f>
        <v>0</v>
      </c>
      <c r="E79" s="56"/>
      <c r="F79" s="56">
        <v>236363</v>
      </c>
      <c r="G79" s="56"/>
      <c r="H79" s="54">
        <f>'4.pielikums'!B77</f>
        <v>298886</v>
      </c>
      <c r="I79" s="77"/>
      <c r="J79" s="77"/>
      <c r="K79" s="77"/>
      <c r="L79" s="77"/>
    </row>
    <row r="80" spans="1:10" ht="15" customHeight="1">
      <c r="A80" s="68"/>
      <c r="B80" s="106" t="s">
        <v>140</v>
      </c>
      <c r="C80" s="61"/>
      <c r="D80" s="56">
        <f t="shared" si="2"/>
        <v>12914</v>
      </c>
      <c r="E80" s="95">
        <v>5750</v>
      </c>
      <c r="F80" s="56"/>
      <c r="G80" s="56"/>
      <c r="H80" s="54">
        <f>'4.pielikums'!B79</f>
        <v>18664</v>
      </c>
      <c r="I80" s="77"/>
      <c r="J80" s="77"/>
    </row>
    <row r="81" spans="1:10" ht="30" customHeight="1">
      <c r="A81" s="58"/>
      <c r="B81" s="74" t="s">
        <v>63</v>
      </c>
      <c r="C81" s="61"/>
      <c r="D81" s="56">
        <f t="shared" si="2"/>
        <v>3244</v>
      </c>
      <c r="E81" s="56"/>
      <c r="F81" s="56"/>
      <c r="G81" s="56"/>
      <c r="H81" s="54">
        <f>'4.pielikums'!B53</f>
        <v>3244</v>
      </c>
      <c r="I81" s="77"/>
      <c r="J81" s="77"/>
    </row>
    <row r="82" spans="1:10" ht="15" customHeight="1">
      <c r="A82" s="58"/>
      <c r="B82" s="74" t="s">
        <v>18</v>
      </c>
      <c r="C82" s="61"/>
      <c r="D82" s="56">
        <f t="shared" si="5" ref="D82:D109">H82-E82-G82-F82-C82</f>
        <v>90000</v>
      </c>
      <c r="E82" s="56"/>
      <c r="F82" s="56"/>
      <c r="G82" s="56"/>
      <c r="H82" s="54">
        <f>'4.pielikums'!B52</f>
        <v>90000</v>
      </c>
      <c r="I82" s="77"/>
      <c r="J82" s="77"/>
    </row>
    <row r="83" spans="1:10" ht="18" customHeight="1">
      <c r="A83" s="58"/>
      <c r="B83" s="74" t="s">
        <v>280</v>
      </c>
      <c r="C83" s="61"/>
      <c r="D83" s="56">
        <f t="shared" si="5"/>
        <v>50000</v>
      </c>
      <c r="E83" s="56"/>
      <c r="F83" s="56"/>
      <c r="G83" s="56"/>
      <c r="H83" s="54">
        <f>'4.pielikums'!B55</f>
        <v>50000</v>
      </c>
      <c r="I83" s="77"/>
      <c r="J83" s="77"/>
    </row>
    <row r="84" spans="1:10" ht="19.5" customHeight="1">
      <c r="A84" s="58"/>
      <c r="B84" s="74" t="s">
        <v>765</v>
      </c>
      <c r="C84" s="61">
        <v>18861</v>
      </c>
      <c r="D84" s="56">
        <f t="shared" si="5"/>
        <v>0</v>
      </c>
      <c r="E84" s="56"/>
      <c r="F84" s="56"/>
      <c r="G84" s="56">
        <v>169752</v>
      </c>
      <c r="H84" s="54">
        <f>'4.pielikums'!B312</f>
        <v>188613</v>
      </c>
      <c r="I84" s="77"/>
      <c r="J84" s="77"/>
    </row>
    <row r="85" spans="1:10" ht="33" customHeight="1">
      <c r="A85" s="58"/>
      <c r="B85" s="74" t="s">
        <v>816</v>
      </c>
      <c r="C85" s="61"/>
      <c r="D85" s="56">
        <f t="shared" si="5"/>
        <v>4000</v>
      </c>
      <c r="E85" s="56"/>
      <c r="F85" s="56">
        <v>8000</v>
      </c>
      <c r="G85" s="56"/>
      <c r="H85" s="54">
        <f>'4.pielikums'!B316</f>
        <v>12000</v>
      </c>
      <c r="I85" s="77"/>
      <c r="J85" s="77"/>
    </row>
    <row r="86" spans="1:10" ht="59.45" customHeight="1">
      <c r="A86" s="62"/>
      <c r="B86" s="107" t="s">
        <v>253</v>
      </c>
      <c r="C86" s="60"/>
      <c r="D86" s="56">
        <f t="shared" si="5"/>
        <v>0</v>
      </c>
      <c r="E86" s="56"/>
      <c r="F86" s="56">
        <v>46467</v>
      </c>
      <c r="G86" s="56">
        <v>140952</v>
      </c>
      <c r="H86" s="54">
        <f>'4.pielikums'!B80</f>
        <v>187419</v>
      </c>
      <c r="I86" s="77"/>
      <c r="J86" s="77"/>
    </row>
    <row r="87" spans="1:10" ht="15" customHeight="1">
      <c r="A87" s="17" t="s">
        <v>281</v>
      </c>
      <c r="B87" s="87" t="s">
        <v>282</v>
      </c>
      <c r="C87" s="65">
        <f t="shared" si="6" ref="C87:H87">SUM(C88:C109)</f>
        <v>28093</v>
      </c>
      <c r="D87" s="65">
        <f t="shared" si="6"/>
        <v>24041</v>
      </c>
      <c r="E87" s="65">
        <f t="shared" si="6"/>
        <v>140128</v>
      </c>
      <c r="F87" s="65">
        <f t="shared" si="6"/>
        <v>0</v>
      </c>
      <c r="G87" s="65">
        <f t="shared" si="6"/>
        <v>0</v>
      </c>
      <c r="H87" s="54">
        <f t="shared" si="6"/>
        <v>192262</v>
      </c>
      <c r="I87" s="77"/>
      <c r="J87" s="77"/>
    </row>
    <row r="88" spans="1:10" ht="30" customHeight="1">
      <c r="A88" s="58"/>
      <c r="B88" s="74" t="s">
        <v>79</v>
      </c>
      <c r="C88" s="61">
        <v>28093</v>
      </c>
      <c r="D88" s="56">
        <f>H88-E88-G88-F88-C88</f>
        <v>0</v>
      </c>
      <c r="E88" s="56">
        <v>38000</v>
      </c>
      <c r="F88" s="56"/>
      <c r="G88" s="56"/>
      <c r="H88" s="54">
        <f>'4.pielikums'!B81</f>
        <v>66093</v>
      </c>
      <c r="I88" s="77"/>
      <c r="J88" s="77"/>
    </row>
    <row r="89" spans="1:10" ht="30" customHeight="1">
      <c r="A89" s="58"/>
      <c r="B89" s="108" t="s">
        <v>333</v>
      </c>
      <c r="C89" s="61"/>
      <c r="D89" s="56">
        <f>H89-E89-G89-F89-C89</f>
        <v>0</v>
      </c>
      <c r="E89" s="95">
        <v>7712</v>
      </c>
      <c r="F89" s="56"/>
      <c r="G89" s="56"/>
      <c r="H89" s="54">
        <f>'4.pielikums'!B82</f>
        <v>7712</v>
      </c>
      <c r="I89" s="77"/>
      <c r="J89" s="77"/>
    </row>
    <row r="90" spans="1:10" s="76" customFormat="1" ht="30" customHeight="1">
      <c r="A90" s="81"/>
      <c r="B90" s="108" t="s">
        <v>725</v>
      </c>
      <c r="C90" s="60"/>
      <c r="D90" s="55">
        <f t="shared" si="5"/>
        <v>0</v>
      </c>
      <c r="E90" s="95">
        <v>2845</v>
      </c>
      <c r="F90" s="55"/>
      <c r="G90" s="55"/>
      <c r="H90" s="131">
        <f>'4.pielikums'!B83</f>
        <v>2845</v>
      </c>
      <c r="I90" s="77"/>
      <c r="J90" s="77"/>
    </row>
    <row r="91" spans="1:10" ht="30" customHeight="1">
      <c r="A91" s="58"/>
      <c r="B91" s="106" t="s">
        <v>255</v>
      </c>
      <c r="C91" s="61"/>
      <c r="D91" s="56">
        <f t="shared" si="5"/>
        <v>0</v>
      </c>
      <c r="E91" s="95">
        <v>4230</v>
      </c>
      <c r="F91" s="56"/>
      <c r="G91" s="56"/>
      <c r="H91" s="54">
        <f>'4.pielikums'!B84</f>
        <v>4230</v>
      </c>
      <c r="I91" s="77"/>
      <c r="J91" s="77"/>
    </row>
    <row r="92" spans="1:10" s="76" customFormat="1" ht="30" customHeight="1">
      <c r="A92" s="81"/>
      <c r="B92" s="108" t="s">
        <v>726</v>
      </c>
      <c r="C92" s="60"/>
      <c r="D92" s="55">
        <f t="shared" si="5"/>
        <v>687</v>
      </c>
      <c r="E92" s="102">
        <v>3572</v>
      </c>
      <c r="F92" s="55"/>
      <c r="G92" s="55"/>
      <c r="H92" s="131">
        <f>'4.pielikums'!B85</f>
        <v>4259</v>
      </c>
      <c r="I92" s="77"/>
      <c r="J92" s="77"/>
    </row>
    <row r="93" spans="1:10" ht="30" customHeight="1">
      <c r="A93" s="58"/>
      <c r="B93" s="106" t="s">
        <v>247</v>
      </c>
      <c r="C93" s="61"/>
      <c r="D93" s="56">
        <f t="shared" si="5"/>
        <v>950</v>
      </c>
      <c r="E93" s="95">
        <v>2718</v>
      </c>
      <c r="F93" s="56"/>
      <c r="G93" s="56"/>
      <c r="H93" s="54">
        <f>'4.pielikums'!B86</f>
        <v>3668</v>
      </c>
      <c r="I93" s="77"/>
      <c r="J93" s="77"/>
    </row>
    <row r="94" spans="1:10" ht="30" customHeight="1">
      <c r="A94" s="58"/>
      <c r="B94" s="106" t="s">
        <v>250</v>
      </c>
      <c r="C94" s="61"/>
      <c r="D94" s="56">
        <f t="shared" si="5"/>
        <v>0</v>
      </c>
      <c r="E94" s="95">
        <v>6752</v>
      </c>
      <c r="F94" s="56"/>
      <c r="G94" s="56"/>
      <c r="H94" s="54">
        <f>'4.pielikums'!B87</f>
        <v>6752</v>
      </c>
      <c r="I94" s="77"/>
      <c r="J94" s="77"/>
    </row>
    <row r="95" spans="1:10" ht="30" customHeight="1">
      <c r="A95" s="58"/>
      <c r="B95" s="106" t="s">
        <v>145</v>
      </c>
      <c r="C95" s="61"/>
      <c r="D95" s="56">
        <f t="shared" si="5"/>
        <v>0</v>
      </c>
      <c r="E95" s="95">
        <v>4700</v>
      </c>
      <c r="F95" s="56"/>
      <c r="G95" s="56"/>
      <c r="H95" s="54">
        <f>'4.pielikums'!B88</f>
        <v>4700</v>
      </c>
      <c r="I95" s="77"/>
      <c r="J95" s="77"/>
    </row>
    <row r="96" spans="1:10" ht="30" customHeight="1">
      <c r="A96" s="58"/>
      <c r="B96" s="73" t="s">
        <v>334</v>
      </c>
      <c r="C96" s="61"/>
      <c r="D96" s="56">
        <f>H96-E96-G96-F96-C96</f>
        <v>0</v>
      </c>
      <c r="E96" s="95">
        <v>8550</v>
      </c>
      <c r="F96" s="56"/>
      <c r="G96" s="56"/>
      <c r="H96" s="54">
        <f>'4.pielikums'!B89</f>
        <v>8550</v>
      </c>
      <c r="I96" s="77"/>
      <c r="J96" s="77"/>
    </row>
    <row r="97" spans="1:10" s="76" customFormat="1" ht="30" customHeight="1">
      <c r="A97" s="81"/>
      <c r="B97" s="73" t="s">
        <v>727</v>
      </c>
      <c r="C97" s="60"/>
      <c r="D97" s="55">
        <f t="shared" si="5"/>
        <v>1732</v>
      </c>
      <c r="E97" s="102">
        <v>1270</v>
      </c>
      <c r="F97" s="55"/>
      <c r="G97" s="55"/>
      <c r="H97" s="131">
        <f>'4.pielikums'!B90</f>
        <v>3002</v>
      </c>
      <c r="I97" s="77"/>
      <c r="J97" s="77"/>
    </row>
    <row r="98" spans="1:10" ht="30" customHeight="1">
      <c r="A98" s="58"/>
      <c r="B98" s="106" t="s">
        <v>142</v>
      </c>
      <c r="C98" s="61"/>
      <c r="D98" s="56">
        <f t="shared" si="5"/>
        <v>3306</v>
      </c>
      <c r="E98" s="102">
        <v>6780</v>
      </c>
      <c r="F98" s="56"/>
      <c r="G98" s="56"/>
      <c r="H98" s="54">
        <f>'4.pielikums'!B91</f>
        <v>10086</v>
      </c>
      <c r="I98" s="77"/>
      <c r="J98" s="77"/>
    </row>
    <row r="99" spans="1:10" ht="30" customHeight="1">
      <c r="A99" s="58"/>
      <c r="B99" s="106" t="s">
        <v>144</v>
      </c>
      <c r="C99" s="61"/>
      <c r="D99" s="56">
        <f t="shared" si="5"/>
        <v>0</v>
      </c>
      <c r="E99" s="95">
        <v>1010</v>
      </c>
      <c r="F99" s="56"/>
      <c r="G99" s="56"/>
      <c r="H99" s="54">
        <f>'4.pielikums'!B92</f>
        <v>1010</v>
      </c>
      <c r="I99" s="77"/>
      <c r="J99" s="77"/>
    </row>
    <row r="100" spans="1:10" ht="30" customHeight="1">
      <c r="A100" s="58"/>
      <c r="B100" s="73" t="s">
        <v>332</v>
      </c>
      <c r="C100" s="60"/>
      <c r="D100" s="56">
        <f t="shared" si="5"/>
        <v>2437</v>
      </c>
      <c r="E100" s="95">
        <v>6273</v>
      </c>
      <c r="F100" s="56"/>
      <c r="G100" s="56"/>
      <c r="H100" s="54">
        <f>'4.pielikums'!B93</f>
        <v>8710</v>
      </c>
      <c r="I100" s="77"/>
      <c r="J100" s="77"/>
    </row>
    <row r="101" spans="1:10" ht="30" customHeight="1">
      <c r="A101" s="58"/>
      <c r="B101" s="106" t="s">
        <v>257</v>
      </c>
      <c r="C101" s="61"/>
      <c r="D101" s="56">
        <f t="shared" si="5"/>
        <v>6370</v>
      </c>
      <c r="E101" s="95">
        <v>4286</v>
      </c>
      <c r="F101" s="56"/>
      <c r="G101" s="56"/>
      <c r="H101" s="54">
        <f>'4.pielikums'!B94</f>
        <v>10656</v>
      </c>
      <c r="I101" s="77"/>
      <c r="J101" s="77"/>
    </row>
    <row r="102" spans="1:10" ht="30" customHeight="1">
      <c r="A102" s="58"/>
      <c r="B102" s="106" t="s">
        <v>143</v>
      </c>
      <c r="C102" s="61"/>
      <c r="D102" s="56">
        <f t="shared" si="5"/>
        <v>0</v>
      </c>
      <c r="E102" s="95">
        <v>720</v>
      </c>
      <c r="F102" s="56"/>
      <c r="G102" s="56"/>
      <c r="H102" s="54">
        <f>'4.pielikums'!B95</f>
        <v>720</v>
      </c>
      <c r="I102" s="77"/>
      <c r="J102" s="77"/>
    </row>
    <row r="103" spans="1:10" ht="30" customHeight="1">
      <c r="A103" s="58"/>
      <c r="B103" s="106" t="s">
        <v>146</v>
      </c>
      <c r="C103" s="61"/>
      <c r="D103" s="56">
        <f t="shared" si="5"/>
        <v>1508</v>
      </c>
      <c r="E103" s="95">
        <v>2000</v>
      </c>
      <c r="F103" s="56"/>
      <c r="G103" s="56"/>
      <c r="H103" s="54">
        <f>'4.pielikums'!B96</f>
        <v>3508</v>
      </c>
      <c r="I103" s="77"/>
      <c r="J103" s="77"/>
    </row>
    <row r="104" spans="1:10" ht="30" customHeight="1">
      <c r="A104" s="58"/>
      <c r="B104" s="106" t="s">
        <v>216</v>
      </c>
      <c r="C104" s="61"/>
      <c r="D104" s="56">
        <f t="shared" si="5"/>
        <v>719</v>
      </c>
      <c r="E104" s="95">
        <f>17550</f>
        <v>17550</v>
      </c>
      <c r="F104" s="56"/>
      <c r="G104" s="56"/>
      <c r="H104" s="54">
        <f>'4.pielikums'!B97</f>
        <v>18269</v>
      </c>
      <c r="I104" s="77"/>
      <c r="J104" s="77"/>
    </row>
    <row r="105" spans="1:10" s="76" customFormat="1" ht="30" customHeight="1">
      <c r="A105" s="81"/>
      <c r="B105" s="106" t="s">
        <v>728</v>
      </c>
      <c r="C105" s="60"/>
      <c r="D105" s="55">
        <f t="shared" si="5"/>
        <v>0</v>
      </c>
      <c r="E105" s="102">
        <v>6665</v>
      </c>
      <c r="F105" s="55"/>
      <c r="G105" s="55"/>
      <c r="H105" s="131">
        <f>'4.pielikums'!B98</f>
        <v>6665</v>
      </c>
      <c r="I105" s="77"/>
      <c r="J105" s="77"/>
    </row>
    <row r="106" spans="1:10" ht="30" customHeight="1">
      <c r="A106" s="58"/>
      <c r="B106" s="106" t="s">
        <v>147</v>
      </c>
      <c r="C106" s="61"/>
      <c r="D106" s="56">
        <f t="shared" si="5"/>
        <v>376</v>
      </c>
      <c r="E106" s="95">
        <v>7985</v>
      </c>
      <c r="F106" s="56"/>
      <c r="G106" s="56"/>
      <c r="H106" s="54">
        <f>'4.pielikums'!B99</f>
        <v>8361</v>
      </c>
      <c r="I106" s="77"/>
      <c r="J106" s="77"/>
    </row>
    <row r="107" spans="1:10" ht="30" customHeight="1">
      <c r="A107" s="58"/>
      <c r="B107" s="106" t="s">
        <v>141</v>
      </c>
      <c r="C107" s="61"/>
      <c r="D107" s="56">
        <f t="shared" si="5"/>
        <v>0</v>
      </c>
      <c r="E107" s="95">
        <f>3510</f>
        <v>3510</v>
      </c>
      <c r="F107" s="56"/>
      <c r="G107" s="56"/>
      <c r="H107" s="54">
        <f>'4.pielikums'!B100</f>
        <v>3510</v>
      </c>
      <c r="I107" s="77"/>
      <c r="J107" s="77"/>
    </row>
    <row r="108" spans="1:10" ht="51.6" customHeight="1">
      <c r="A108" s="58"/>
      <c r="B108" s="106" t="s">
        <v>746</v>
      </c>
      <c r="C108" s="61"/>
      <c r="D108" s="56">
        <f t="shared" si="5"/>
        <v>5956</v>
      </c>
      <c r="E108" s="95"/>
      <c r="F108" s="56"/>
      <c r="G108" s="56"/>
      <c r="H108" s="54">
        <f>'4.pielikums'!B314</f>
        <v>5956</v>
      </c>
      <c r="I108" s="77"/>
      <c r="J108" s="77"/>
    </row>
    <row r="109" spans="1:10" ht="51.6" customHeight="1">
      <c r="A109" s="58"/>
      <c r="B109" s="106" t="s">
        <v>752</v>
      </c>
      <c r="C109" s="61"/>
      <c r="D109" s="56">
        <f t="shared" si="5"/>
        <v>0</v>
      </c>
      <c r="E109" s="56">
        <v>3000</v>
      </c>
      <c r="F109" s="56"/>
      <c r="G109" s="56"/>
      <c r="H109" s="54">
        <f>'4.pielikums'!B311</f>
        <v>3000</v>
      </c>
      <c r="I109" s="77"/>
      <c r="J109" s="77"/>
    </row>
    <row r="110" spans="1:10" ht="30" customHeight="1">
      <c r="A110" s="69" t="s">
        <v>283</v>
      </c>
      <c r="B110" s="87" t="s">
        <v>284</v>
      </c>
      <c r="C110" s="65">
        <f t="shared" si="7" ref="C110:H110">C111+C113</f>
        <v>115000</v>
      </c>
      <c r="D110" s="65">
        <f t="shared" si="7"/>
        <v>2509498.25</v>
      </c>
      <c r="E110" s="65">
        <f t="shared" si="7"/>
        <v>2156226</v>
      </c>
      <c r="F110" s="65">
        <f t="shared" si="7"/>
        <v>2000</v>
      </c>
      <c r="G110" s="65">
        <f t="shared" si="7"/>
        <v>380947</v>
      </c>
      <c r="H110" s="54">
        <f t="shared" si="7"/>
        <v>5163671.25</v>
      </c>
      <c r="I110" s="77"/>
      <c r="J110" s="77"/>
    </row>
    <row r="111" spans="1:10" ht="15" customHeight="1">
      <c r="A111" s="67"/>
      <c r="B111" s="85" t="s">
        <v>285</v>
      </c>
      <c r="C111" s="65">
        <f t="shared" si="8" ref="C111:H111">SUM(C112:C112)</f>
        <v>0</v>
      </c>
      <c r="D111" s="65">
        <f t="shared" si="8"/>
        <v>119842</v>
      </c>
      <c r="E111" s="65">
        <f t="shared" si="8"/>
        <v>0</v>
      </c>
      <c r="F111" s="65">
        <f t="shared" si="8"/>
        <v>0</v>
      </c>
      <c r="G111" s="65">
        <f t="shared" si="8"/>
        <v>0</v>
      </c>
      <c r="H111" s="54">
        <f t="shared" si="8"/>
        <v>119842</v>
      </c>
      <c r="I111" s="77"/>
      <c r="J111" s="77"/>
    </row>
    <row r="112" spans="1:10" ht="15" customHeight="1">
      <c r="A112" s="17"/>
      <c r="B112" s="86" t="s">
        <v>19</v>
      </c>
      <c r="C112" s="66"/>
      <c r="D112" s="56">
        <f t="shared" si="9" ref="D112:D181">H112-E112-G112-F112-C112</f>
        <v>119842</v>
      </c>
      <c r="E112" s="56"/>
      <c r="F112" s="56"/>
      <c r="G112" s="56"/>
      <c r="H112" s="54">
        <f>'4.pielikums'!B101</f>
        <v>119842</v>
      </c>
      <c r="I112" s="77"/>
      <c r="J112" s="77"/>
    </row>
    <row r="113" spans="1:10" ht="31.5">
      <c r="A113" s="58"/>
      <c r="B113" s="87" t="s">
        <v>286</v>
      </c>
      <c r="C113" s="65">
        <f t="shared" si="10" ref="C113:H113">SUM(C114:C178)</f>
        <v>115000</v>
      </c>
      <c r="D113" s="65">
        <f t="shared" si="10"/>
        <v>2389656.25</v>
      </c>
      <c r="E113" s="65">
        <f t="shared" si="10"/>
        <v>2156226</v>
      </c>
      <c r="F113" s="65">
        <f t="shared" si="10"/>
        <v>2000</v>
      </c>
      <c r="G113" s="65">
        <f t="shared" si="10"/>
        <v>380947</v>
      </c>
      <c r="H113" s="54">
        <f t="shared" si="10"/>
        <v>5043829.25</v>
      </c>
      <c r="I113" s="77"/>
      <c r="J113" s="77"/>
    </row>
    <row r="114" spans="1:10" s="76" customFormat="1" ht="15" customHeight="1">
      <c r="A114" s="84"/>
      <c r="B114" s="74" t="s">
        <v>189</v>
      </c>
      <c r="C114" s="60"/>
      <c r="D114" s="55">
        <f t="shared" si="9"/>
        <v>74682</v>
      </c>
      <c r="E114" s="55">
        <v>21000</v>
      </c>
      <c r="F114" s="55"/>
      <c r="G114" s="55"/>
      <c r="H114" s="131">
        <f>'4.pielikums'!B102</f>
        <v>95682</v>
      </c>
      <c r="I114" s="77"/>
      <c r="J114" s="77"/>
    </row>
    <row r="115" spans="1:10" s="76" customFormat="1" ht="15" customHeight="1">
      <c r="A115" s="84"/>
      <c r="B115" s="74" t="s">
        <v>193</v>
      </c>
      <c r="C115" s="60"/>
      <c r="D115" s="55">
        <f>H115-E115-G115-F115-C115</f>
        <v>58549</v>
      </c>
      <c r="E115" s="55"/>
      <c r="F115" s="55"/>
      <c r="G115" s="55"/>
      <c r="H115" s="131">
        <f>'4.pielikums'!B103</f>
        <v>58549</v>
      </c>
      <c r="I115" s="77"/>
      <c r="J115" s="77"/>
    </row>
    <row r="116" spans="1:10" s="76" customFormat="1" ht="17.25" customHeight="1">
      <c r="A116" s="84"/>
      <c r="B116" s="74" t="s">
        <v>751</v>
      </c>
      <c r="C116" s="60"/>
      <c r="D116" s="55">
        <f>H116-E116-G116-F116-C116</f>
        <v>367431</v>
      </c>
      <c r="E116" s="55"/>
      <c r="F116" s="55"/>
      <c r="G116" s="55"/>
      <c r="H116" s="131">
        <f>'4.pielikums'!B127</f>
        <v>367431</v>
      </c>
      <c r="I116" s="77"/>
      <c r="J116" s="77"/>
    </row>
    <row r="117" spans="1:10" ht="15" customHeight="1">
      <c r="A117" s="58"/>
      <c r="B117" s="98" t="s">
        <v>288</v>
      </c>
      <c r="C117" s="66">
        <v>115000</v>
      </c>
      <c r="D117" s="56">
        <f t="shared" si="9"/>
        <v>0</v>
      </c>
      <c r="E117" s="56">
        <f>231618+282536+217219+908592+9380</f>
        <v>1649345</v>
      </c>
      <c r="F117" s="56"/>
      <c r="G117" s="56"/>
      <c r="H117" s="54">
        <f>'4.pielikums'!B120</f>
        <v>1764345</v>
      </c>
      <c r="I117" s="77"/>
      <c r="J117" s="77"/>
    </row>
    <row r="118" spans="1:10" ht="21.75" customHeight="1">
      <c r="A118" s="62"/>
      <c r="B118" s="97" t="s">
        <v>20</v>
      </c>
      <c r="C118" s="61"/>
      <c r="D118" s="56">
        <f>H118-E118-G118-F118-C118</f>
        <v>29040</v>
      </c>
      <c r="E118" s="95">
        <v>510</v>
      </c>
      <c r="F118" s="56"/>
      <c r="G118" s="56"/>
      <c r="H118" s="54">
        <f>'4.pielikums'!B104</f>
        <v>29550</v>
      </c>
      <c r="I118" s="77"/>
      <c r="J118" s="77"/>
    </row>
    <row r="119" spans="1:10" ht="30" customHeight="1">
      <c r="A119" s="58"/>
      <c r="B119" s="97" t="s">
        <v>287</v>
      </c>
      <c r="C119" s="61"/>
      <c r="D119" s="56">
        <f t="shared" si="9"/>
        <v>73044</v>
      </c>
      <c r="E119" s="95">
        <f>2280</f>
        <v>2280</v>
      </c>
      <c r="F119" s="56"/>
      <c r="G119" s="56"/>
      <c r="H119" s="54">
        <f>'4.pielikums'!B105</f>
        <v>75324</v>
      </c>
      <c r="I119" s="77"/>
      <c r="J119" s="77"/>
    </row>
    <row r="120" spans="1:10" ht="28.15" customHeight="1">
      <c r="A120" s="58"/>
      <c r="B120" s="97" t="s">
        <v>21</v>
      </c>
      <c r="C120" s="61"/>
      <c r="D120" s="56">
        <f>H120-E120-G120-F120-C120</f>
        <v>29545</v>
      </c>
      <c r="E120" s="102">
        <v>170</v>
      </c>
      <c r="F120" s="56"/>
      <c r="G120" s="56"/>
      <c r="H120" s="54">
        <f>'4.pielikums'!B106</f>
        <v>29715</v>
      </c>
      <c r="I120" s="77"/>
      <c r="J120" s="77"/>
    </row>
    <row r="121" spans="1:10" ht="30" customHeight="1">
      <c r="A121" s="58"/>
      <c r="B121" s="97" t="s">
        <v>22</v>
      </c>
      <c r="C121" s="61"/>
      <c r="D121" s="56">
        <f t="shared" si="9"/>
        <v>60017</v>
      </c>
      <c r="E121" s="95">
        <v>1838</v>
      </c>
      <c r="F121" s="56"/>
      <c r="G121" s="56"/>
      <c r="H121" s="54">
        <f>'4.pielikums'!B107</f>
        <v>61855</v>
      </c>
      <c r="I121" s="77"/>
      <c r="J121" s="77"/>
    </row>
    <row r="122" spans="1:10" ht="32.45" customHeight="1">
      <c r="A122" s="58"/>
      <c r="B122" s="97" t="s">
        <v>23</v>
      </c>
      <c r="C122" s="61"/>
      <c r="D122" s="56">
        <f t="shared" si="9"/>
        <v>25350</v>
      </c>
      <c r="E122" s="95">
        <f>2491+2191</f>
        <v>4682</v>
      </c>
      <c r="F122" s="56"/>
      <c r="G122" s="56"/>
      <c r="H122" s="54">
        <f>'4.pielikums'!B108</f>
        <v>30032</v>
      </c>
      <c r="I122" s="77"/>
      <c r="J122" s="77"/>
    </row>
    <row r="123" spans="1:10" ht="29.45" customHeight="1">
      <c r="A123" s="58"/>
      <c r="B123" s="97" t="s">
        <v>24</v>
      </c>
      <c r="C123" s="61"/>
      <c r="D123" s="56">
        <f t="shared" si="9"/>
        <v>74171</v>
      </c>
      <c r="E123" s="95">
        <v>225</v>
      </c>
      <c r="F123" s="56"/>
      <c r="G123" s="56"/>
      <c r="H123" s="54">
        <f>'4.pielikums'!B109</f>
        <v>74396</v>
      </c>
      <c r="I123" s="77"/>
      <c r="J123" s="77"/>
    </row>
    <row r="124" spans="1:10" ht="30" customHeight="1">
      <c r="A124" s="58"/>
      <c r="B124" s="109" t="s">
        <v>335</v>
      </c>
      <c r="C124" s="61"/>
      <c r="D124" s="56">
        <f t="shared" si="9"/>
        <v>34907</v>
      </c>
      <c r="E124" s="95">
        <v>59525</v>
      </c>
      <c r="F124" s="56"/>
      <c r="G124" s="56"/>
      <c r="H124" s="54">
        <f>'4.pielikums'!B110</f>
        <v>94432</v>
      </c>
      <c r="I124" s="77"/>
      <c r="J124" s="77"/>
    </row>
    <row r="125" spans="1:10" ht="30" customHeight="1">
      <c r="A125" s="58"/>
      <c r="B125" s="110" t="s">
        <v>149</v>
      </c>
      <c r="C125" s="61"/>
      <c r="D125" s="56">
        <f t="shared" si="9"/>
        <v>84669</v>
      </c>
      <c r="E125" s="95">
        <v>3590</v>
      </c>
      <c r="F125" s="56"/>
      <c r="G125" s="56"/>
      <c r="H125" s="54">
        <f>'4.pielikums'!B111</f>
        <v>88259</v>
      </c>
      <c r="I125" s="77"/>
      <c r="J125" s="77"/>
    </row>
    <row r="126" spans="1:10" ht="30" customHeight="1">
      <c r="A126" s="58"/>
      <c r="B126" s="97" t="s">
        <v>25</v>
      </c>
      <c r="C126" s="61"/>
      <c r="D126" s="56">
        <f t="shared" si="9"/>
        <v>54015</v>
      </c>
      <c r="E126" s="95">
        <v>3145</v>
      </c>
      <c r="F126" s="56"/>
      <c r="G126" s="56"/>
      <c r="H126" s="54">
        <f>'4.pielikums'!B112</f>
        <v>57160</v>
      </c>
      <c r="I126" s="77"/>
      <c r="J126" s="77"/>
    </row>
    <row r="127" spans="1:10" ht="30" customHeight="1">
      <c r="A127" s="58"/>
      <c r="B127" s="109" t="s">
        <v>336</v>
      </c>
      <c r="C127" s="61"/>
      <c r="D127" s="56">
        <f t="shared" si="9"/>
        <v>10119</v>
      </c>
      <c r="E127" s="95"/>
      <c r="F127" s="56"/>
      <c r="G127" s="56"/>
      <c r="H127" s="54">
        <f>'4.pielikums'!B113</f>
        <v>10119</v>
      </c>
      <c r="I127" s="77"/>
      <c r="J127" s="77"/>
    </row>
    <row r="128" spans="1:10" ht="15" customHeight="1">
      <c r="A128" s="58"/>
      <c r="B128" s="110" t="s">
        <v>150</v>
      </c>
      <c r="C128" s="61"/>
      <c r="D128" s="56">
        <f t="shared" si="9"/>
        <v>155416</v>
      </c>
      <c r="E128" s="95">
        <v>3341</v>
      </c>
      <c r="F128" s="56"/>
      <c r="G128" s="56"/>
      <c r="H128" s="54">
        <f>'4.pielikums'!B114</f>
        <v>158757</v>
      </c>
      <c r="I128" s="77"/>
      <c r="J128" s="77"/>
    </row>
    <row r="129" spans="1:10" ht="34.15" customHeight="1">
      <c r="A129" s="58"/>
      <c r="B129" s="109" t="s">
        <v>337</v>
      </c>
      <c r="C129" s="61"/>
      <c r="D129" s="56">
        <f t="shared" si="9"/>
        <v>3815</v>
      </c>
      <c r="E129" s="95">
        <v>3530</v>
      </c>
      <c r="F129" s="56"/>
      <c r="G129" s="56"/>
      <c r="H129" s="54">
        <f>'4.pielikums'!B115</f>
        <v>7345</v>
      </c>
      <c r="I129" s="77"/>
      <c r="J129" s="77"/>
    </row>
    <row r="130" spans="1:10" ht="29.45" customHeight="1">
      <c r="A130" s="58"/>
      <c r="B130" s="97" t="s">
        <v>26</v>
      </c>
      <c r="C130" s="61"/>
      <c r="D130" s="56">
        <f t="shared" si="9"/>
        <v>103536</v>
      </c>
      <c r="E130" s="95">
        <v>14016</v>
      </c>
      <c r="F130" s="56"/>
      <c r="G130" s="56"/>
      <c r="H130" s="54">
        <f>'4.pielikums'!B116</f>
        <v>117552</v>
      </c>
      <c r="I130" s="77"/>
      <c r="J130" s="77"/>
    </row>
    <row r="131" spans="1:10" s="76" customFormat="1" ht="30" customHeight="1">
      <c r="A131" s="81"/>
      <c r="B131" s="97" t="s">
        <v>27</v>
      </c>
      <c r="C131" s="60"/>
      <c r="D131" s="55">
        <f t="shared" si="9"/>
        <v>45339</v>
      </c>
      <c r="E131" s="102"/>
      <c r="F131" s="55"/>
      <c r="G131" s="55"/>
      <c r="H131" s="131">
        <f>'4.pielikums'!B117</f>
        <v>45339</v>
      </c>
      <c r="I131" s="77"/>
      <c r="J131" s="77"/>
    </row>
    <row r="132" spans="1:10" ht="33.6" customHeight="1">
      <c r="A132" s="58"/>
      <c r="B132" s="109" t="s">
        <v>198</v>
      </c>
      <c r="C132" s="61"/>
      <c r="D132" s="56">
        <f t="shared" si="9"/>
        <v>41260</v>
      </c>
      <c r="E132" s="95">
        <v>1400</v>
      </c>
      <c r="F132" s="56"/>
      <c r="G132" s="56"/>
      <c r="H132" s="54">
        <f>'4.pielikums'!B118</f>
        <v>42660</v>
      </c>
      <c r="I132" s="77"/>
      <c r="J132" s="77"/>
    </row>
    <row r="133" spans="1:10" ht="31.9" customHeight="1">
      <c r="A133" s="58"/>
      <c r="B133" s="97" t="s">
        <v>28</v>
      </c>
      <c r="C133" s="61"/>
      <c r="D133" s="56">
        <f t="shared" si="9"/>
        <v>102295</v>
      </c>
      <c r="E133" s="95">
        <v>586</v>
      </c>
      <c r="F133" s="56"/>
      <c r="G133" s="56"/>
      <c r="H133" s="54">
        <f>'4.pielikums'!B119</f>
        <v>102881</v>
      </c>
      <c r="I133" s="77"/>
      <c r="J133" s="77"/>
    </row>
    <row r="134" spans="1:10" ht="30" customHeight="1">
      <c r="A134" s="58"/>
      <c r="B134" s="109" t="s">
        <v>182</v>
      </c>
      <c r="C134" s="61"/>
      <c r="D134" s="56">
        <f>H134-E134-G134-F134-C134</f>
        <v>65807.25</v>
      </c>
      <c r="E134" s="95">
        <v>17000</v>
      </c>
      <c r="F134" s="56"/>
      <c r="G134" s="56"/>
      <c r="H134" s="54">
        <f>'4.pielikums'!B121</f>
        <v>82807.25</v>
      </c>
      <c r="I134" s="77"/>
      <c r="J134" s="77"/>
    </row>
    <row r="135" spans="1:10" ht="30" customHeight="1">
      <c r="A135" s="58"/>
      <c r="B135" s="109" t="s">
        <v>121</v>
      </c>
      <c r="C135" s="61"/>
      <c r="D135" s="56">
        <f t="shared" si="9"/>
        <v>0</v>
      </c>
      <c r="E135" s="95">
        <v>7500</v>
      </c>
      <c r="F135" s="56"/>
      <c r="G135" s="56"/>
      <c r="H135" s="54">
        <f>'4.pielikums'!B123</f>
        <v>7500</v>
      </c>
      <c r="I135" s="77"/>
      <c r="J135" s="77"/>
    </row>
    <row r="136" spans="1:10" ht="30" customHeight="1">
      <c r="A136" s="58"/>
      <c r="B136" s="109" t="s">
        <v>127</v>
      </c>
      <c r="C136" s="61"/>
      <c r="D136" s="56">
        <f t="shared" si="9"/>
        <v>0</v>
      </c>
      <c r="E136" s="95">
        <v>1000</v>
      </c>
      <c r="F136" s="56"/>
      <c r="G136" s="56"/>
      <c r="H136" s="54">
        <f>'4.pielikums'!B124</f>
        <v>1000</v>
      </c>
      <c r="I136" s="77"/>
      <c r="J136" s="77"/>
    </row>
    <row r="137" spans="1:10" ht="30" customHeight="1">
      <c r="A137" s="58"/>
      <c r="B137" s="109" t="s">
        <v>122</v>
      </c>
      <c r="C137" s="61"/>
      <c r="D137" s="56">
        <f t="shared" si="9"/>
        <v>0</v>
      </c>
      <c r="E137" s="95">
        <f>2100+7727</f>
        <v>9827</v>
      </c>
      <c r="F137" s="56"/>
      <c r="G137" s="56"/>
      <c r="H137" s="54">
        <f>'4.pielikums'!B125</f>
        <v>9827</v>
      </c>
      <c r="I137" s="77"/>
      <c r="J137" s="77"/>
    </row>
    <row r="138" spans="1:10" ht="30" customHeight="1">
      <c r="A138" s="58"/>
      <c r="B138" s="106" t="s">
        <v>124</v>
      </c>
      <c r="C138" s="61"/>
      <c r="D138" s="56">
        <f t="shared" si="9"/>
        <v>0</v>
      </c>
      <c r="E138" s="95">
        <v>3200</v>
      </c>
      <c r="F138" s="56"/>
      <c r="G138" s="56"/>
      <c r="H138" s="54">
        <f>'4.pielikums'!B126</f>
        <v>3200</v>
      </c>
      <c r="I138" s="77"/>
      <c r="J138" s="77"/>
    </row>
    <row r="139" spans="1:10" ht="30" customHeight="1">
      <c r="A139" s="58"/>
      <c r="B139" s="74" t="s">
        <v>737</v>
      </c>
      <c r="C139" s="61"/>
      <c r="D139" s="56">
        <f t="shared" si="9"/>
        <v>118153</v>
      </c>
      <c r="E139" s="95"/>
      <c r="F139" s="56"/>
      <c r="G139" s="56"/>
      <c r="H139" s="54">
        <f>'4.pielikums'!B128</f>
        <v>118153</v>
      </c>
      <c r="I139" s="77"/>
      <c r="J139" s="77"/>
    </row>
    <row r="140" spans="1:10" ht="30" customHeight="1">
      <c r="A140" s="58"/>
      <c r="B140" s="106" t="s">
        <v>107</v>
      </c>
      <c r="C140" s="61"/>
      <c r="D140" s="56">
        <f t="shared" si="9"/>
        <v>16115</v>
      </c>
      <c r="E140" s="95"/>
      <c r="F140" s="56"/>
      <c r="G140" s="56"/>
      <c r="H140" s="54">
        <f>'4.pielikums'!B129</f>
        <v>16115</v>
      </c>
      <c r="I140" s="77"/>
      <c r="J140" s="77"/>
    </row>
    <row r="141" spans="1:10" ht="30" customHeight="1">
      <c r="A141" s="58"/>
      <c r="B141" s="106" t="s">
        <v>102</v>
      </c>
      <c r="C141" s="61"/>
      <c r="D141" s="56">
        <f t="shared" si="9"/>
        <v>16093</v>
      </c>
      <c r="E141" s="95"/>
      <c r="F141" s="56"/>
      <c r="G141" s="56"/>
      <c r="H141" s="54">
        <f>'4.pielikums'!B130</f>
        <v>16093</v>
      </c>
      <c r="I141" s="77"/>
      <c r="J141" s="77"/>
    </row>
    <row r="142" spans="1:10" ht="30" customHeight="1">
      <c r="A142" s="58"/>
      <c r="B142" s="106" t="s">
        <v>109</v>
      </c>
      <c r="C142" s="61"/>
      <c r="D142" s="56">
        <f t="shared" si="9"/>
        <v>17528</v>
      </c>
      <c r="E142" s="95">
        <v>255</v>
      </c>
      <c r="F142" s="56"/>
      <c r="G142" s="56"/>
      <c r="H142" s="54">
        <f>'4.pielikums'!B131</f>
        <v>17783</v>
      </c>
      <c r="I142" s="77"/>
      <c r="J142" s="77"/>
    </row>
    <row r="143" spans="1:10" ht="30" customHeight="1">
      <c r="A143" s="58"/>
      <c r="B143" s="106" t="s">
        <v>338</v>
      </c>
      <c r="C143" s="61"/>
      <c r="D143" s="56">
        <f t="shared" si="9"/>
        <v>19011</v>
      </c>
      <c r="E143" s="56"/>
      <c r="F143" s="56"/>
      <c r="G143" s="56"/>
      <c r="H143" s="54">
        <f>'4.pielikums'!B132</f>
        <v>19011</v>
      </c>
      <c r="I143" s="77"/>
      <c r="J143" s="77"/>
    </row>
    <row r="144" spans="1:10" ht="30" customHeight="1">
      <c r="A144" s="58"/>
      <c r="B144" s="106" t="s">
        <v>119</v>
      </c>
      <c r="C144" s="61"/>
      <c r="D144" s="56">
        <f t="shared" si="11" ref="D144">H144-E144-G144-F144-C144</f>
        <v>24027</v>
      </c>
      <c r="E144" s="56"/>
      <c r="F144" s="56"/>
      <c r="G144" s="56"/>
      <c r="H144" s="54">
        <f>'4.pielikums'!B133</f>
        <v>24027</v>
      </c>
      <c r="I144" s="77"/>
      <c r="J144" s="77"/>
    </row>
    <row r="145" spans="1:10" ht="15" customHeight="1">
      <c r="A145" s="58"/>
      <c r="B145" s="106" t="s">
        <v>125</v>
      </c>
      <c r="C145" s="61"/>
      <c r="D145" s="56">
        <f t="shared" si="9"/>
        <v>205018</v>
      </c>
      <c r="E145" s="95">
        <f>900+1400</f>
        <v>2300</v>
      </c>
      <c r="F145" s="56"/>
      <c r="G145" s="56"/>
      <c r="H145" s="54">
        <f>'4.pielikums'!B134</f>
        <v>207318</v>
      </c>
      <c r="I145" s="77"/>
      <c r="J145" s="77"/>
    </row>
    <row r="146" spans="1:10" ht="30" customHeight="1">
      <c r="A146" s="58"/>
      <c r="B146" s="106" t="s">
        <v>249</v>
      </c>
      <c r="C146" s="61"/>
      <c r="D146" s="56">
        <f t="shared" si="9"/>
        <v>45890</v>
      </c>
      <c r="E146" s="95">
        <v>21857</v>
      </c>
      <c r="F146" s="56"/>
      <c r="G146" s="56"/>
      <c r="H146" s="54">
        <f>'4.pielikums'!B135</f>
        <v>67747</v>
      </c>
      <c r="I146" s="77"/>
      <c r="J146" s="77"/>
    </row>
    <row r="147" spans="1:10" ht="30" customHeight="1">
      <c r="A147" s="58"/>
      <c r="B147" s="106" t="s">
        <v>114</v>
      </c>
      <c r="C147" s="61"/>
      <c r="D147" s="56">
        <f t="shared" si="9"/>
        <v>69425</v>
      </c>
      <c r="E147" s="95">
        <v>35161</v>
      </c>
      <c r="F147" s="56"/>
      <c r="G147" s="56"/>
      <c r="H147" s="54">
        <f>'4.pielikums'!B136</f>
        <v>104586</v>
      </c>
      <c r="I147" s="77"/>
      <c r="J147" s="77"/>
    </row>
    <row r="148" spans="1:10" ht="30" customHeight="1">
      <c r="A148" s="58"/>
      <c r="B148" s="106" t="s">
        <v>339</v>
      </c>
      <c r="C148" s="61"/>
      <c r="D148" s="56">
        <f t="shared" si="9"/>
        <v>32104</v>
      </c>
      <c r="E148" s="95">
        <v>13500</v>
      </c>
      <c r="F148" s="56"/>
      <c r="G148" s="56"/>
      <c r="H148" s="54">
        <f>'4.pielikums'!B137</f>
        <v>45604</v>
      </c>
      <c r="I148" s="77"/>
      <c r="J148" s="77"/>
    </row>
    <row r="149" spans="1:10" ht="15" customHeight="1">
      <c r="A149" s="58"/>
      <c r="B149" s="106" t="s">
        <v>258</v>
      </c>
      <c r="C149" s="61"/>
      <c r="D149" s="56">
        <f t="shared" si="9"/>
        <v>29697</v>
      </c>
      <c r="E149" s="95">
        <v>28967</v>
      </c>
      <c r="F149" s="56"/>
      <c r="G149" s="56"/>
      <c r="H149" s="54">
        <f>'4.pielikums'!B138</f>
        <v>58664</v>
      </c>
      <c r="I149" s="77"/>
      <c r="J149" s="77"/>
    </row>
    <row r="150" spans="1:10" ht="30" customHeight="1">
      <c r="A150" s="58"/>
      <c r="B150" s="106" t="s">
        <v>116</v>
      </c>
      <c r="C150" s="61"/>
      <c r="D150" s="56">
        <f t="shared" si="9"/>
        <v>22471</v>
      </c>
      <c r="E150" s="95">
        <v>9000</v>
      </c>
      <c r="F150" s="56"/>
      <c r="G150" s="56"/>
      <c r="H150" s="54">
        <f>'4.pielikums'!B139</f>
        <v>31471</v>
      </c>
      <c r="I150" s="77"/>
      <c r="J150" s="77"/>
    </row>
    <row r="151" spans="1:10" ht="30" customHeight="1">
      <c r="A151" s="58"/>
      <c r="B151" s="106" t="s">
        <v>104</v>
      </c>
      <c r="C151" s="61"/>
      <c r="D151" s="56">
        <f t="shared" si="9"/>
        <v>15365</v>
      </c>
      <c r="E151" s="95">
        <v>69000</v>
      </c>
      <c r="F151" s="56"/>
      <c r="G151" s="56"/>
      <c r="H151" s="54">
        <f>'4.pielikums'!B140</f>
        <v>84365</v>
      </c>
      <c r="I151" s="77"/>
      <c r="J151" s="77"/>
    </row>
    <row r="152" spans="1:10" ht="15" customHeight="1">
      <c r="A152" s="58"/>
      <c r="B152" s="106" t="s">
        <v>106</v>
      </c>
      <c r="C152" s="61"/>
      <c r="D152" s="56">
        <f t="shared" si="9"/>
        <v>44530</v>
      </c>
      <c r="E152" s="95">
        <f>59000</f>
        <v>59000</v>
      </c>
      <c r="F152" s="56"/>
      <c r="G152" s="56"/>
      <c r="H152" s="54">
        <f>'4.pielikums'!B141</f>
        <v>103530</v>
      </c>
      <c r="I152" s="77"/>
      <c r="J152" s="77"/>
    </row>
    <row r="153" spans="1:10" ht="15" customHeight="1">
      <c r="A153" s="58"/>
      <c r="B153" s="108" t="s">
        <v>204</v>
      </c>
      <c r="C153" s="61"/>
      <c r="D153" s="56">
        <f t="shared" si="9"/>
        <v>0</v>
      </c>
      <c r="E153" s="95">
        <v>2840</v>
      </c>
      <c r="F153" s="56"/>
      <c r="G153" s="56"/>
      <c r="H153" s="54">
        <f>'4.pielikums'!B142</f>
        <v>2840</v>
      </c>
      <c r="I153" s="77"/>
      <c r="J153" s="77"/>
    </row>
    <row r="154" spans="1:10" ht="15" customHeight="1">
      <c r="A154" s="58"/>
      <c r="B154" s="108" t="s">
        <v>203</v>
      </c>
      <c r="C154" s="61"/>
      <c r="D154" s="56">
        <f t="shared" si="9"/>
        <v>5778</v>
      </c>
      <c r="E154" s="95">
        <v>11605</v>
      </c>
      <c r="F154" s="56"/>
      <c r="G154" s="56"/>
      <c r="H154" s="54">
        <f>'4.pielikums'!B143</f>
        <v>17383</v>
      </c>
      <c r="I154" s="77"/>
      <c r="J154" s="77"/>
    </row>
    <row r="155" spans="1:10" s="76" customFormat="1" ht="30" customHeight="1">
      <c r="A155" s="81"/>
      <c r="B155" s="106" t="s">
        <v>722</v>
      </c>
      <c r="C155" s="60"/>
      <c r="D155" s="55">
        <f t="shared" si="9"/>
        <v>1794</v>
      </c>
      <c r="E155" s="102">
        <v>2500</v>
      </c>
      <c r="F155" s="55"/>
      <c r="G155" s="55"/>
      <c r="H155" s="131">
        <f>'4.pielikums'!B144</f>
        <v>4294</v>
      </c>
      <c r="I155" s="77"/>
      <c r="J155" s="77"/>
    </row>
    <row r="156" spans="1:10" ht="15" customHeight="1">
      <c r="A156" s="58"/>
      <c r="B156" s="106" t="s">
        <v>256</v>
      </c>
      <c r="C156" s="61"/>
      <c r="D156" s="56">
        <f>H156-E156-G156-F156-C156</f>
        <v>381</v>
      </c>
      <c r="E156" s="95">
        <v>4268</v>
      </c>
      <c r="F156" s="56"/>
      <c r="G156" s="56"/>
      <c r="H156" s="54">
        <f>'4.pielikums'!B145</f>
        <v>4649</v>
      </c>
      <c r="I156" s="77"/>
      <c r="J156" s="77"/>
    </row>
    <row r="157" spans="1:10" s="76" customFormat="1" ht="30" customHeight="1">
      <c r="A157" s="81"/>
      <c r="B157" s="106" t="s">
        <v>723</v>
      </c>
      <c r="C157" s="60"/>
      <c r="D157" s="55">
        <f>H157-E157-G157-F157-C157</f>
        <v>745</v>
      </c>
      <c r="E157" s="102">
        <v>2391</v>
      </c>
      <c r="F157" s="55"/>
      <c r="G157" s="55"/>
      <c r="H157" s="131">
        <f>'4.pielikums'!B146</f>
        <v>3136</v>
      </c>
      <c r="I157" s="77"/>
      <c r="J157" s="77"/>
    </row>
    <row r="158" spans="1:10" ht="15" customHeight="1">
      <c r="A158" s="58"/>
      <c r="B158" s="111" t="s">
        <v>248</v>
      </c>
      <c r="C158" s="61"/>
      <c r="D158" s="56">
        <f t="shared" si="9"/>
        <v>1585</v>
      </c>
      <c r="E158" s="95">
        <v>4516</v>
      </c>
      <c r="F158" s="56"/>
      <c r="G158" s="56"/>
      <c r="H158" s="54">
        <f>'4.pielikums'!B147</f>
        <v>6101</v>
      </c>
      <c r="I158" s="77"/>
      <c r="J158" s="77"/>
    </row>
    <row r="159" spans="1:10" ht="15" customHeight="1">
      <c r="A159" s="58"/>
      <c r="B159" s="106" t="s">
        <v>251</v>
      </c>
      <c r="C159" s="61"/>
      <c r="D159" s="56">
        <f t="shared" si="9"/>
        <v>0</v>
      </c>
      <c r="E159" s="95">
        <v>5348</v>
      </c>
      <c r="F159" s="56"/>
      <c r="G159" s="56"/>
      <c r="H159" s="54">
        <f>'4.pielikums'!B148</f>
        <v>5348</v>
      </c>
      <c r="I159" s="77"/>
      <c r="J159" s="77"/>
    </row>
    <row r="160" spans="1:10" ht="30" customHeight="1">
      <c r="A160" s="58"/>
      <c r="B160" s="106" t="s">
        <v>115</v>
      </c>
      <c r="C160" s="61"/>
      <c r="D160" s="56">
        <f t="shared" si="9"/>
        <v>0</v>
      </c>
      <c r="E160" s="95">
        <v>5000</v>
      </c>
      <c r="F160" s="56"/>
      <c r="G160" s="56"/>
      <c r="H160" s="54">
        <f>'4.pielikums'!B149</f>
        <v>5000</v>
      </c>
      <c r="I160" s="77"/>
      <c r="J160" s="77"/>
    </row>
    <row r="161" spans="1:10" ht="15" customHeight="1">
      <c r="A161" s="58"/>
      <c r="B161" s="107" t="s">
        <v>151</v>
      </c>
      <c r="C161" s="61"/>
      <c r="D161" s="56">
        <f t="shared" si="9"/>
        <v>0</v>
      </c>
      <c r="E161" s="95">
        <v>5600</v>
      </c>
      <c r="F161" s="56"/>
      <c r="G161" s="56"/>
      <c r="H161" s="54">
        <f>'4.pielikums'!B150</f>
        <v>5600</v>
      </c>
      <c r="I161" s="77"/>
      <c r="J161" s="77"/>
    </row>
    <row r="162" spans="1:10" s="76" customFormat="1" ht="30" customHeight="1">
      <c r="A162" s="81"/>
      <c r="B162" s="106" t="s">
        <v>724</v>
      </c>
      <c r="C162" s="60"/>
      <c r="D162" s="55">
        <f t="shared" si="9"/>
        <v>0</v>
      </c>
      <c r="E162" s="102">
        <v>3193</v>
      </c>
      <c r="F162" s="55"/>
      <c r="G162" s="55"/>
      <c r="H162" s="131">
        <f>'4.pielikums'!B151</f>
        <v>3193</v>
      </c>
      <c r="I162" s="77"/>
      <c r="J162" s="77"/>
    </row>
    <row r="163" spans="1:10" ht="30" customHeight="1">
      <c r="A163" s="58"/>
      <c r="B163" s="106" t="s">
        <v>108</v>
      </c>
      <c r="C163" s="61"/>
      <c r="D163" s="56">
        <f t="shared" si="9"/>
        <v>0</v>
      </c>
      <c r="E163" s="95">
        <v>7036</v>
      </c>
      <c r="F163" s="56"/>
      <c r="G163" s="56"/>
      <c r="H163" s="54">
        <f>'4.pielikums'!B152</f>
        <v>7036</v>
      </c>
      <c r="I163" s="77"/>
      <c r="J163" s="77"/>
    </row>
    <row r="164" spans="1:10" ht="15" customHeight="1">
      <c r="A164" s="58"/>
      <c r="B164" s="106" t="s">
        <v>112</v>
      </c>
      <c r="C164" s="61"/>
      <c r="D164" s="56">
        <f t="shared" si="9"/>
        <v>0</v>
      </c>
      <c r="E164" s="95">
        <v>2977</v>
      </c>
      <c r="F164" s="56"/>
      <c r="G164" s="56"/>
      <c r="H164" s="54">
        <f>'4.pielikums'!B153</f>
        <v>2977</v>
      </c>
      <c r="I164" s="77"/>
      <c r="J164" s="77"/>
    </row>
    <row r="165" spans="1:10" ht="15" customHeight="1">
      <c r="A165" s="58"/>
      <c r="B165" s="107" t="s">
        <v>152</v>
      </c>
      <c r="C165" s="61"/>
      <c r="D165" s="56">
        <f t="shared" si="9"/>
        <v>0</v>
      </c>
      <c r="E165" s="95">
        <v>6650</v>
      </c>
      <c r="F165" s="56"/>
      <c r="G165" s="56"/>
      <c r="H165" s="54">
        <f>'4.pielikums'!B154</f>
        <v>6650</v>
      </c>
      <c r="I165" s="77"/>
      <c r="J165" s="77"/>
    </row>
    <row r="166" spans="1:10" ht="15" customHeight="1">
      <c r="A166" s="58"/>
      <c r="B166" s="106" t="s">
        <v>113</v>
      </c>
      <c r="C166" s="61"/>
      <c r="D166" s="56">
        <f t="shared" si="9"/>
        <v>0</v>
      </c>
      <c r="E166" s="95">
        <v>2127</v>
      </c>
      <c r="F166" s="56"/>
      <c r="G166" s="56"/>
      <c r="H166" s="54">
        <f>'4.pielikums'!B155</f>
        <v>2127</v>
      </c>
      <c r="I166" s="77"/>
      <c r="J166" s="77"/>
    </row>
    <row r="167" spans="1:10" ht="15" customHeight="1">
      <c r="A167" s="58"/>
      <c r="B167" s="106" t="s">
        <v>259</v>
      </c>
      <c r="C167" s="61"/>
      <c r="D167" s="56">
        <f t="shared" si="9"/>
        <v>2942</v>
      </c>
      <c r="E167" s="95">
        <v>6463</v>
      </c>
      <c r="F167" s="56"/>
      <c r="G167" s="56"/>
      <c r="H167" s="54">
        <f>'4.pielikums'!B156</f>
        <v>9405</v>
      </c>
      <c r="I167" s="77"/>
      <c r="J167" s="77"/>
    </row>
    <row r="168" spans="1:10" s="76" customFormat="1" ht="15" customHeight="1">
      <c r="A168" s="81"/>
      <c r="B168" s="106" t="s">
        <v>715</v>
      </c>
      <c r="C168" s="60"/>
      <c r="D168" s="55">
        <f t="shared" si="9"/>
        <v>1470</v>
      </c>
      <c r="E168" s="102">
        <v>4189</v>
      </c>
      <c r="F168" s="55"/>
      <c r="G168" s="55"/>
      <c r="H168" s="131">
        <f>'4.pielikums'!B158</f>
        <v>5659</v>
      </c>
      <c r="I168" s="77"/>
      <c r="J168" s="77"/>
    </row>
    <row r="169" spans="1:10" ht="15" customHeight="1">
      <c r="A169" s="58"/>
      <c r="B169" s="106" t="s">
        <v>110</v>
      </c>
      <c r="C169" s="61"/>
      <c r="D169" s="56">
        <f t="shared" si="9"/>
        <v>0</v>
      </c>
      <c r="E169" s="102">
        <v>3605</v>
      </c>
      <c r="F169" s="56"/>
      <c r="G169" s="56"/>
      <c r="H169" s="54">
        <f>'4.pielikums'!B157</f>
        <v>3605</v>
      </c>
      <c r="I169" s="77"/>
      <c r="J169" s="77"/>
    </row>
    <row r="170" spans="1:10" ht="15" customHeight="1">
      <c r="A170" s="58"/>
      <c r="B170" s="106" t="s">
        <v>118</v>
      </c>
      <c r="C170" s="61"/>
      <c r="D170" s="56">
        <f t="shared" si="9"/>
        <v>1574</v>
      </c>
      <c r="E170" s="95">
        <v>2400</v>
      </c>
      <c r="F170" s="56"/>
      <c r="G170" s="56"/>
      <c r="H170" s="54">
        <f>'4.pielikums'!B159</f>
        <v>3974</v>
      </c>
      <c r="I170" s="77"/>
      <c r="J170" s="77"/>
    </row>
    <row r="171" spans="1:10" ht="30" customHeight="1">
      <c r="A171" s="58"/>
      <c r="B171" s="106" t="s">
        <v>105</v>
      </c>
      <c r="C171" s="61"/>
      <c r="D171" s="56">
        <f t="shared" si="9"/>
        <v>14895</v>
      </c>
      <c r="E171" s="95">
        <f>15900</f>
        <v>15900</v>
      </c>
      <c r="F171" s="56"/>
      <c r="G171" s="56"/>
      <c r="H171" s="54">
        <f>'4.pielikums'!B160</f>
        <v>30795</v>
      </c>
      <c r="I171" s="77"/>
      <c r="J171" s="77"/>
    </row>
    <row r="172" spans="1:10" ht="30" customHeight="1">
      <c r="A172" s="58"/>
      <c r="B172" s="106" t="s">
        <v>716</v>
      </c>
      <c r="C172" s="61"/>
      <c r="D172" s="56">
        <f t="shared" si="9"/>
        <v>0</v>
      </c>
      <c r="E172" s="95">
        <v>2560</v>
      </c>
      <c r="F172" s="56"/>
      <c r="G172" s="56"/>
      <c r="H172" s="54">
        <f>'4.pielikums'!B161</f>
        <v>2560</v>
      </c>
      <c r="I172" s="77"/>
      <c r="J172" s="77"/>
    </row>
    <row r="173" spans="1:10" ht="15" customHeight="1">
      <c r="A173" s="58"/>
      <c r="B173" s="106" t="s">
        <v>340</v>
      </c>
      <c r="C173" s="61"/>
      <c r="D173" s="56">
        <f t="shared" si="9"/>
        <v>4058</v>
      </c>
      <c r="E173" s="95">
        <f>8308</f>
        <v>8308</v>
      </c>
      <c r="F173" s="56"/>
      <c r="G173" s="56"/>
      <c r="H173" s="54">
        <f>'4.pielikums'!B162</f>
        <v>12366</v>
      </c>
      <c r="I173" s="77"/>
      <c r="J173" s="77"/>
    </row>
    <row r="174" spans="1:10" ht="30" customHeight="1">
      <c r="A174" s="58"/>
      <c r="B174" s="106" t="s">
        <v>241</v>
      </c>
      <c r="C174" s="61"/>
      <c r="D174" s="56">
        <f>H174-E174-G174-F174-C174</f>
        <v>0</v>
      </c>
      <c r="E174" s="95"/>
      <c r="F174" s="56"/>
      <c r="G174" s="56">
        <f>252621+128326</f>
        <v>380947</v>
      </c>
      <c r="H174" s="54">
        <f>'4.pielikums'!B309</f>
        <v>380947</v>
      </c>
      <c r="I174" s="77"/>
      <c r="J174" s="77"/>
    </row>
    <row r="175" spans="1:10" ht="30" customHeight="1">
      <c r="A175" s="58"/>
      <c r="B175" s="75" t="s">
        <v>148</v>
      </c>
      <c r="C175" s="61"/>
      <c r="D175" s="56">
        <f t="shared" si="9"/>
        <v>26000</v>
      </c>
      <c r="E175" s="95"/>
      <c r="F175" s="56"/>
      <c r="G175" s="56"/>
      <c r="H175" s="54">
        <f>'4.pielikums'!B163</f>
        <v>26000</v>
      </c>
      <c r="I175" s="77"/>
      <c r="J175" s="77"/>
    </row>
    <row r="176" spans="1:10" ht="30" customHeight="1">
      <c r="A176" s="58"/>
      <c r="B176" s="75" t="s">
        <v>691</v>
      </c>
      <c r="C176" s="61"/>
      <c r="D176" s="56">
        <f t="shared" si="9"/>
        <v>0</v>
      </c>
      <c r="E176" s="95"/>
      <c r="F176" s="56">
        <v>2000</v>
      </c>
      <c r="G176" s="56"/>
      <c r="H176" s="54">
        <f>'4.pielikums'!B306</f>
        <v>2000</v>
      </c>
      <c r="I176" s="77"/>
      <c r="J176" s="77"/>
    </row>
    <row r="177" spans="1:10" ht="30" customHeight="1">
      <c r="A177" s="58"/>
      <c r="B177" s="75" t="s">
        <v>750</v>
      </c>
      <c r="C177" s="61"/>
      <c r="D177" s="56">
        <f t="shared" si="9"/>
        <v>60000</v>
      </c>
      <c r="E177" s="95"/>
      <c r="F177" s="56"/>
      <c r="G177" s="56"/>
      <c r="H177" s="54">
        <f>'4.pielikums'!B310</f>
        <v>60000</v>
      </c>
      <c r="I177" s="77"/>
      <c r="J177" s="77"/>
    </row>
    <row r="178" spans="1:10" s="76" customFormat="1" ht="15" customHeight="1">
      <c r="A178" s="81"/>
      <c r="B178" s="75" t="s">
        <v>184</v>
      </c>
      <c r="C178" s="60"/>
      <c r="D178" s="55">
        <f t="shared" si="9"/>
        <v>100000</v>
      </c>
      <c r="E178" s="102"/>
      <c r="F178" s="55"/>
      <c r="G178" s="55"/>
      <c r="H178" s="131">
        <f>'4.pielikums'!B307</f>
        <v>100000</v>
      </c>
      <c r="I178" s="77"/>
      <c r="J178" s="77"/>
    </row>
    <row r="179" spans="1:10" ht="15" customHeight="1">
      <c r="A179" s="17" t="s">
        <v>289</v>
      </c>
      <c r="B179" s="85" t="s">
        <v>290</v>
      </c>
      <c r="C179" s="65">
        <f>SUM(C180:C189)</f>
        <v>0</v>
      </c>
      <c r="D179" s="65">
        <f t="shared" si="12" ref="D179:G179">SUM(D180:D189)</f>
        <v>14303</v>
      </c>
      <c r="E179" s="65">
        <f t="shared" si="12"/>
        <v>510</v>
      </c>
      <c r="F179" s="65">
        <f t="shared" si="12"/>
        <v>135263</v>
      </c>
      <c r="G179" s="65">
        <f t="shared" si="12"/>
        <v>0</v>
      </c>
      <c r="H179" s="54">
        <f>SUM(H180:H189)</f>
        <v>150076</v>
      </c>
      <c r="I179" s="77"/>
      <c r="J179" s="77"/>
    </row>
    <row r="180" spans="1:10" ht="15" customHeight="1">
      <c r="A180" s="58"/>
      <c r="B180" s="74" t="s">
        <v>291</v>
      </c>
      <c r="C180" s="61"/>
      <c r="D180" s="56">
        <f>H180-E180-G180-F180-C180</f>
        <v>897</v>
      </c>
      <c r="E180" s="95">
        <v>150</v>
      </c>
      <c r="F180" s="95">
        <v>12896</v>
      </c>
      <c r="G180" s="56"/>
      <c r="H180" s="54">
        <f>'4.pielikums'!B164</f>
        <v>13943</v>
      </c>
      <c r="I180" s="77"/>
      <c r="J180" s="77"/>
    </row>
    <row r="181" spans="1:10" ht="15" customHeight="1">
      <c r="A181" s="58"/>
      <c r="B181" s="74" t="s">
        <v>292</v>
      </c>
      <c r="C181" s="61"/>
      <c r="D181" s="56">
        <f t="shared" si="9"/>
        <v>2773</v>
      </c>
      <c r="E181" s="95">
        <v>50</v>
      </c>
      <c r="F181" s="95">
        <v>12266</v>
      </c>
      <c r="G181" s="56"/>
      <c r="H181" s="54">
        <f>'4.pielikums'!B165</f>
        <v>15089</v>
      </c>
      <c r="I181" s="77"/>
      <c r="J181" s="77"/>
    </row>
    <row r="182" spans="1:10" ht="15" customHeight="1">
      <c r="A182" s="58"/>
      <c r="B182" s="74" t="s">
        <v>293</v>
      </c>
      <c r="C182" s="61"/>
      <c r="D182" s="56">
        <f t="shared" si="13" ref="D182:D189">H182-E182-G182-F182-C182</f>
        <v>965</v>
      </c>
      <c r="E182" s="95">
        <v>50</v>
      </c>
      <c r="F182" s="95">
        <v>12896</v>
      </c>
      <c r="G182" s="56"/>
      <c r="H182" s="54">
        <f>'4.pielikums'!B166</f>
        <v>13911</v>
      </c>
      <c r="I182" s="77"/>
      <c r="J182" s="77"/>
    </row>
    <row r="183" spans="1:10" ht="15" customHeight="1">
      <c r="A183" s="58"/>
      <c r="B183" s="74" t="s">
        <v>153</v>
      </c>
      <c r="C183" s="61"/>
      <c r="D183" s="56">
        <f t="shared" si="13"/>
        <v>-10</v>
      </c>
      <c r="E183" s="95">
        <v>10</v>
      </c>
      <c r="F183" s="95">
        <v>12896</v>
      </c>
      <c r="G183" s="56"/>
      <c r="H183" s="54">
        <f>'4.pielikums'!B167</f>
        <v>12896</v>
      </c>
      <c r="I183" s="77"/>
      <c r="J183" s="77"/>
    </row>
    <row r="184" spans="1:10" ht="15" customHeight="1">
      <c r="A184" s="58"/>
      <c r="B184" s="74" t="s">
        <v>294</v>
      </c>
      <c r="C184" s="61"/>
      <c r="D184" s="56">
        <f t="shared" si="13"/>
        <v>78</v>
      </c>
      <c r="E184" s="95">
        <v>50</v>
      </c>
      <c r="F184" s="95">
        <v>12896</v>
      </c>
      <c r="G184" s="56"/>
      <c r="H184" s="54">
        <f>'4.pielikums'!B168</f>
        <v>13024</v>
      </c>
      <c r="I184" s="77"/>
      <c r="J184" s="77"/>
    </row>
    <row r="185" spans="1:10" ht="15" customHeight="1">
      <c r="A185" s="58"/>
      <c r="B185" s="74" t="s">
        <v>295</v>
      </c>
      <c r="C185" s="61"/>
      <c r="D185" s="56">
        <f t="shared" si="13"/>
        <v>2968</v>
      </c>
      <c r="E185" s="95">
        <v>50</v>
      </c>
      <c r="F185" s="95">
        <v>12896</v>
      </c>
      <c r="G185" s="56"/>
      <c r="H185" s="54">
        <f>'4.pielikums'!B169</f>
        <v>15914</v>
      </c>
      <c r="I185" s="77"/>
      <c r="J185" s="77"/>
    </row>
    <row r="186" spans="1:10" ht="15" customHeight="1">
      <c r="A186" s="58"/>
      <c r="B186" s="106" t="s">
        <v>296</v>
      </c>
      <c r="C186" s="61"/>
      <c r="D186" s="56">
        <f t="shared" si="13"/>
        <v>2674</v>
      </c>
      <c r="E186" s="95">
        <v>50</v>
      </c>
      <c r="F186" s="95">
        <v>12896</v>
      </c>
      <c r="G186" s="56"/>
      <c r="H186" s="54">
        <f>'4.pielikums'!B170</f>
        <v>15620</v>
      </c>
      <c r="I186" s="77"/>
      <c r="J186" s="77"/>
    </row>
    <row r="187" spans="1:10" ht="15" customHeight="1">
      <c r="A187" s="58"/>
      <c r="B187" s="74" t="s">
        <v>297</v>
      </c>
      <c r="C187" s="61"/>
      <c r="D187" s="56">
        <f t="shared" si="13"/>
        <v>3880</v>
      </c>
      <c r="E187" s="95">
        <v>50</v>
      </c>
      <c r="F187" s="95">
        <v>12896</v>
      </c>
      <c r="G187" s="56"/>
      <c r="H187" s="54">
        <f>'4.pielikums'!B171</f>
        <v>16826</v>
      </c>
      <c r="I187" s="77"/>
      <c r="J187" s="77"/>
    </row>
    <row r="188" spans="1:10" ht="15" customHeight="1">
      <c r="A188" s="58"/>
      <c r="B188" s="74" t="s">
        <v>298</v>
      </c>
      <c r="C188" s="61"/>
      <c r="D188" s="56">
        <f t="shared" si="13"/>
        <v>78</v>
      </c>
      <c r="E188" s="95">
        <v>50</v>
      </c>
      <c r="F188" s="95">
        <v>12896</v>
      </c>
      <c r="G188" s="56"/>
      <c r="H188" s="54">
        <f>'4.pielikums'!B172</f>
        <v>13024</v>
      </c>
      <c r="I188" s="77"/>
      <c r="J188" s="77"/>
    </row>
    <row r="189" spans="1:10" ht="15" customHeight="1">
      <c r="A189" s="58"/>
      <c r="B189" s="73" t="s">
        <v>299</v>
      </c>
      <c r="C189" s="61"/>
      <c r="D189" s="56">
        <f t="shared" si="13"/>
        <v>0</v>
      </c>
      <c r="E189" s="95"/>
      <c r="F189" s="95">
        <v>19829</v>
      </c>
      <c r="G189" s="56"/>
      <c r="H189" s="54">
        <f>'4.pielikums'!B173</f>
        <v>19829</v>
      </c>
      <c r="I189" s="77"/>
      <c r="J189" s="77"/>
    </row>
    <row r="190" spans="1:10" ht="15" customHeight="1">
      <c r="A190" s="17" t="s">
        <v>300</v>
      </c>
      <c r="B190" s="85" t="s">
        <v>657</v>
      </c>
      <c r="C190" s="65">
        <f t="shared" si="14" ref="C190:H190">C191+C198+C200+C206+C227</f>
        <v>112700</v>
      </c>
      <c r="D190" s="65">
        <f t="shared" si="14"/>
        <v>2146573</v>
      </c>
      <c r="E190" s="132">
        <f t="shared" si="14"/>
        <v>112041</v>
      </c>
      <c r="F190" s="132">
        <f t="shared" si="14"/>
        <v>45935</v>
      </c>
      <c r="G190" s="65">
        <f t="shared" si="14"/>
        <v>283341</v>
      </c>
      <c r="H190" s="54">
        <f t="shared" si="14"/>
        <v>2700590</v>
      </c>
      <c r="I190" s="77"/>
      <c r="J190" s="77"/>
    </row>
    <row r="191" spans="1:10" ht="15" customHeight="1">
      <c r="A191" s="17"/>
      <c r="B191" s="85" t="s">
        <v>301</v>
      </c>
      <c r="C191" s="65">
        <f>SUM(C192:C196)</f>
        <v>0</v>
      </c>
      <c r="D191" s="65">
        <f>SUM(D192:D196)</f>
        <v>180881</v>
      </c>
      <c r="E191" s="65">
        <f t="shared" si="15" ref="E191:G191">SUM(E192:E196)</f>
        <v>3120</v>
      </c>
      <c r="F191" s="65">
        <f t="shared" si="15"/>
        <v>0</v>
      </c>
      <c r="G191" s="65">
        <f t="shared" si="15"/>
        <v>0</v>
      </c>
      <c r="H191" s="54">
        <f>SUM(H192:H196)</f>
        <v>184001</v>
      </c>
      <c r="I191" s="77"/>
      <c r="J191" s="77"/>
    </row>
    <row r="192" spans="1:10" ht="15" customHeight="1">
      <c r="A192" s="58"/>
      <c r="B192" s="86" t="s">
        <v>176</v>
      </c>
      <c r="C192" s="66"/>
      <c r="D192" s="56">
        <f t="shared" si="16" ref="D192:D231">H192-E192-G192-F192-C192</f>
        <v>76922</v>
      </c>
      <c r="E192" s="95"/>
      <c r="F192" s="95"/>
      <c r="G192" s="56"/>
      <c r="H192" s="54">
        <f>'4.pielikums'!B174</f>
        <v>76922</v>
      </c>
      <c r="I192" s="77"/>
      <c r="J192" s="77"/>
    </row>
    <row r="193" spans="1:10" ht="15" customHeight="1">
      <c r="A193" s="58"/>
      <c r="B193" s="74" t="s">
        <v>207</v>
      </c>
      <c r="C193" s="61"/>
      <c r="D193" s="56">
        <f t="shared" si="16"/>
        <v>30774</v>
      </c>
      <c r="E193" s="95">
        <v>2120</v>
      </c>
      <c r="F193" s="95"/>
      <c r="G193" s="56"/>
      <c r="H193" s="54">
        <f>'4.pielikums'!B175</f>
        <v>32894</v>
      </c>
      <c r="I193" s="77"/>
      <c r="J193" s="77"/>
    </row>
    <row r="194" spans="1:10" ht="15" customHeight="1">
      <c r="A194" s="58"/>
      <c r="B194" s="74" t="s">
        <v>229</v>
      </c>
      <c r="C194" s="61"/>
      <c r="D194" s="56">
        <f t="shared" si="16"/>
        <v>24492</v>
      </c>
      <c r="E194" s="95">
        <f>1000</f>
        <v>1000</v>
      </c>
      <c r="F194" s="95"/>
      <c r="G194" s="56"/>
      <c r="H194" s="54">
        <f>'4.pielikums'!B177</f>
        <v>25492</v>
      </c>
      <c r="I194" s="77"/>
      <c r="J194" s="77"/>
    </row>
    <row r="195" spans="1:10" ht="15" customHeight="1">
      <c r="A195" s="58"/>
      <c r="B195" s="74" t="s">
        <v>736</v>
      </c>
      <c r="C195" s="61"/>
      <c r="D195" s="56">
        <f t="shared" si="16"/>
        <v>29524</v>
      </c>
      <c r="E195" s="95"/>
      <c r="F195" s="95"/>
      <c r="G195" s="56"/>
      <c r="H195" s="54">
        <f>'4.pielikums'!B305</f>
        <v>29524</v>
      </c>
      <c r="I195" s="77"/>
      <c r="J195" s="77"/>
    </row>
    <row r="196" spans="1:10" ht="15" customHeight="1">
      <c r="A196" s="58"/>
      <c r="B196" s="74" t="s">
        <v>781</v>
      </c>
      <c r="C196" s="61"/>
      <c r="D196" s="56">
        <f t="shared" si="16"/>
        <v>19169</v>
      </c>
      <c r="E196" s="95"/>
      <c r="F196" s="95"/>
      <c r="G196" s="56"/>
      <c r="H196" s="54">
        <f>'4.pielikums'!B176</f>
        <v>19169</v>
      </c>
      <c r="I196" s="77"/>
      <c r="J196" s="77"/>
    </row>
    <row r="197" spans="1:10" ht="15" customHeight="1">
      <c r="A197" s="17"/>
      <c r="B197" s="85" t="s">
        <v>302</v>
      </c>
      <c r="C197" s="70"/>
      <c r="D197" s="56"/>
      <c r="E197" s="132"/>
      <c r="F197" s="132"/>
      <c r="G197" s="65"/>
      <c r="H197" s="54"/>
      <c r="I197" s="77"/>
      <c r="J197" s="77"/>
    </row>
    <row r="198" spans="1:10" ht="15" customHeight="1">
      <c r="A198" s="17"/>
      <c r="B198" s="85" t="s">
        <v>303</v>
      </c>
      <c r="C198" s="65">
        <f t="shared" si="17" ref="C198:H198">SUM(C199:C199)</f>
        <v>0</v>
      </c>
      <c r="D198" s="65">
        <f t="shared" si="17"/>
        <v>452864</v>
      </c>
      <c r="E198" s="132">
        <f t="shared" si="17"/>
        <v>1800</v>
      </c>
      <c r="F198" s="132">
        <f t="shared" si="17"/>
        <v>18531</v>
      </c>
      <c r="G198" s="65">
        <f t="shared" si="17"/>
        <v>0</v>
      </c>
      <c r="H198" s="54">
        <f t="shared" si="17"/>
        <v>473195</v>
      </c>
      <c r="I198" s="77"/>
      <c r="J198" s="77"/>
    </row>
    <row r="199" spans="1:10" ht="15" customHeight="1">
      <c r="A199" s="58"/>
      <c r="B199" s="86" t="s">
        <v>36</v>
      </c>
      <c r="C199" s="66"/>
      <c r="D199" s="56">
        <f t="shared" si="16"/>
        <v>452864</v>
      </c>
      <c r="E199" s="95">
        <v>1800</v>
      </c>
      <c r="F199" s="102">
        <v>18531</v>
      </c>
      <c r="G199" s="56"/>
      <c r="H199" s="54">
        <f>'4.pielikums'!B178</f>
        <v>473195</v>
      </c>
      <c r="I199" s="77"/>
      <c r="J199" s="77"/>
    </row>
    <row r="200" spans="1:10" ht="15" customHeight="1">
      <c r="A200" s="17"/>
      <c r="B200" s="85" t="s">
        <v>304</v>
      </c>
      <c r="C200" s="65">
        <f>SUM(C201:C205)</f>
        <v>0</v>
      </c>
      <c r="D200" s="65">
        <f t="shared" si="18" ref="D200:G200">SUM(D201:D205)</f>
        <v>228117</v>
      </c>
      <c r="E200" s="65">
        <f t="shared" si="18"/>
        <v>13760</v>
      </c>
      <c r="F200" s="65">
        <f t="shared" si="18"/>
        <v>0</v>
      </c>
      <c r="G200" s="65">
        <f t="shared" si="18"/>
        <v>0</v>
      </c>
      <c r="H200" s="54">
        <f>SUM(H201:H205)</f>
        <v>241877</v>
      </c>
      <c r="I200" s="77"/>
      <c r="J200" s="77"/>
    </row>
    <row r="201" spans="1:10" ht="15" customHeight="1">
      <c r="A201" s="58"/>
      <c r="B201" s="86" t="s">
        <v>305</v>
      </c>
      <c r="C201" s="66"/>
      <c r="D201" s="56">
        <f t="shared" si="16"/>
        <v>117136</v>
      </c>
      <c r="E201" s="95">
        <v>10740</v>
      </c>
      <c r="F201" s="95"/>
      <c r="G201" s="56"/>
      <c r="H201" s="54">
        <f>'4.pielikums'!B179</f>
        <v>127876</v>
      </c>
      <c r="I201" s="77"/>
      <c r="J201" s="77"/>
    </row>
    <row r="202" spans="1:10" ht="15" customHeight="1">
      <c r="A202" s="58"/>
      <c r="B202" s="86" t="s">
        <v>154</v>
      </c>
      <c r="C202" s="66"/>
      <c r="D202" s="56">
        <f t="shared" si="16"/>
        <v>48951</v>
      </c>
      <c r="E202" s="95">
        <v>350</v>
      </c>
      <c r="F202" s="95"/>
      <c r="G202" s="56"/>
      <c r="H202" s="54">
        <f>'4.pielikums'!B180</f>
        <v>49301</v>
      </c>
      <c r="I202" s="77"/>
      <c r="J202" s="77"/>
    </row>
    <row r="203" spans="1:10" ht="15" customHeight="1">
      <c r="A203" s="58"/>
      <c r="B203" s="75" t="s">
        <v>136</v>
      </c>
      <c r="C203" s="61"/>
      <c r="D203" s="56">
        <f t="shared" si="16"/>
        <v>10051</v>
      </c>
      <c r="E203" s="95"/>
      <c r="F203" s="95"/>
      <c r="G203" s="56"/>
      <c r="H203" s="54">
        <f>'4.pielikums'!B181</f>
        <v>10051</v>
      </c>
      <c r="I203" s="77"/>
      <c r="J203" s="77"/>
    </row>
    <row r="204" spans="1:10" ht="15" customHeight="1">
      <c r="A204" s="58"/>
      <c r="B204" s="106" t="s">
        <v>135</v>
      </c>
      <c r="C204" s="61"/>
      <c r="D204" s="56">
        <f t="shared" si="16"/>
        <v>39374</v>
      </c>
      <c r="E204" s="95">
        <v>1370</v>
      </c>
      <c r="F204" s="95"/>
      <c r="G204" s="56"/>
      <c r="H204" s="54">
        <f>'4.pielikums'!B182</f>
        <v>40744</v>
      </c>
      <c r="I204" s="77"/>
      <c r="J204" s="77"/>
    </row>
    <row r="205" spans="1:10" ht="30" customHeight="1">
      <c r="A205" s="58"/>
      <c r="B205" s="106" t="s">
        <v>134</v>
      </c>
      <c r="C205" s="61"/>
      <c r="D205" s="56">
        <f t="shared" si="16"/>
        <v>12605</v>
      </c>
      <c r="E205" s="95">
        <v>1300</v>
      </c>
      <c r="F205" s="95"/>
      <c r="G205" s="56"/>
      <c r="H205" s="54">
        <f>'4.pielikums'!B183</f>
        <v>13905</v>
      </c>
      <c r="I205" s="77"/>
      <c r="J205" s="77"/>
    </row>
    <row r="206" spans="1:10" ht="15" customHeight="1">
      <c r="A206" s="17"/>
      <c r="B206" s="85" t="s">
        <v>306</v>
      </c>
      <c r="C206" s="65">
        <f>SUM(C207:C226)</f>
        <v>0</v>
      </c>
      <c r="D206" s="65">
        <f t="shared" si="19" ref="D206:G206">SUM(D207:D226)</f>
        <v>984718</v>
      </c>
      <c r="E206" s="65">
        <f t="shared" si="19"/>
        <v>93361</v>
      </c>
      <c r="F206" s="65">
        <f t="shared" si="19"/>
        <v>27404</v>
      </c>
      <c r="G206" s="65">
        <f t="shared" si="19"/>
        <v>0</v>
      </c>
      <c r="H206" s="54">
        <f>SUM(H207:H226)</f>
        <v>1105483</v>
      </c>
      <c r="I206" s="77"/>
      <c r="J206" s="77"/>
    </row>
    <row r="207" spans="1:10" ht="15" customHeight="1">
      <c r="A207" s="58"/>
      <c r="B207" s="86" t="s">
        <v>80</v>
      </c>
      <c r="C207" s="66"/>
      <c r="D207" s="56">
        <f t="shared" si="16"/>
        <v>220903</v>
      </c>
      <c r="E207" s="95">
        <v>8194</v>
      </c>
      <c r="F207" s="95">
        <v>6851</v>
      </c>
      <c r="G207" s="56"/>
      <c r="H207" s="54">
        <f>'4.pielikums'!B184</f>
        <v>235948</v>
      </c>
      <c r="I207" s="77"/>
      <c r="J207" s="77"/>
    </row>
    <row r="208" spans="1:10" ht="30" customHeight="1">
      <c r="A208" s="58"/>
      <c r="B208" s="74" t="s">
        <v>310</v>
      </c>
      <c r="C208" s="61"/>
      <c r="D208" s="56">
        <f t="shared" si="16"/>
        <v>23920</v>
      </c>
      <c r="E208" s="95">
        <v>38136</v>
      </c>
      <c r="F208" s="95"/>
      <c r="G208" s="56"/>
      <c r="H208" s="54">
        <f>'4.pielikums'!B185</f>
        <v>62056</v>
      </c>
      <c r="I208" s="77"/>
      <c r="J208" s="77"/>
    </row>
    <row r="209" spans="1:10" ht="15" customHeight="1">
      <c r="A209" s="58"/>
      <c r="B209" s="74" t="s">
        <v>155</v>
      </c>
      <c r="C209" s="61"/>
      <c r="D209" s="56">
        <f t="shared" si="16"/>
        <v>41869</v>
      </c>
      <c r="E209" s="95">
        <f>130+1800</f>
        <v>1930</v>
      </c>
      <c r="F209" s="95">
        <v>2015</v>
      </c>
      <c r="G209" s="56"/>
      <c r="H209" s="54">
        <f>'4.pielikums'!B186</f>
        <v>45814</v>
      </c>
      <c r="I209" s="77"/>
      <c r="J209" s="77"/>
    </row>
    <row r="210" spans="1:10" ht="15" customHeight="1">
      <c r="A210" s="58"/>
      <c r="B210" s="86" t="s">
        <v>200</v>
      </c>
      <c r="C210" s="66"/>
      <c r="D210" s="56">
        <f>H210-E210-G210-F210-C210</f>
        <v>43091</v>
      </c>
      <c r="E210" s="95">
        <v>2850</v>
      </c>
      <c r="F210" s="95">
        <v>403</v>
      </c>
      <c r="G210" s="56"/>
      <c r="H210" s="54">
        <f>'4.pielikums'!B187</f>
        <v>46344</v>
      </c>
      <c r="I210" s="77"/>
      <c r="J210" s="77"/>
    </row>
    <row r="211" spans="1:10" ht="15" customHeight="1">
      <c r="A211" s="58"/>
      <c r="B211" s="74" t="s">
        <v>307</v>
      </c>
      <c r="C211" s="61"/>
      <c r="D211" s="56">
        <f t="shared" si="16"/>
        <v>39483</v>
      </c>
      <c r="E211" s="95">
        <v>450</v>
      </c>
      <c r="F211" s="95">
        <v>2015</v>
      </c>
      <c r="G211" s="56"/>
      <c r="H211" s="54">
        <f>'4.pielikums'!B188</f>
        <v>41948</v>
      </c>
      <c r="I211" s="77"/>
      <c r="J211" s="77"/>
    </row>
    <row r="212" spans="1:10" ht="15" customHeight="1">
      <c r="A212" s="58"/>
      <c r="B212" s="86" t="s">
        <v>39</v>
      </c>
      <c r="C212" s="66"/>
      <c r="D212" s="56">
        <f t="shared" si="16"/>
        <v>30556</v>
      </c>
      <c r="E212" s="95">
        <v>282</v>
      </c>
      <c r="F212" s="95">
        <v>806</v>
      </c>
      <c r="G212" s="56"/>
      <c r="H212" s="54">
        <f>'4.pielikums'!B189</f>
        <v>31644</v>
      </c>
      <c r="I212" s="77"/>
      <c r="J212" s="77"/>
    </row>
    <row r="213" spans="1:10" ht="15" customHeight="1">
      <c r="A213" s="58"/>
      <c r="B213" s="86" t="s">
        <v>40</v>
      </c>
      <c r="C213" s="66"/>
      <c r="D213" s="56">
        <f t="shared" si="16"/>
        <v>54583</v>
      </c>
      <c r="E213" s="95">
        <f>350+2467</f>
        <v>2817</v>
      </c>
      <c r="F213" s="96"/>
      <c r="G213" s="56"/>
      <c r="H213" s="54">
        <f>'4.pielikums'!B190</f>
        <v>57400</v>
      </c>
      <c r="I213" s="77"/>
      <c r="J213" s="77"/>
    </row>
    <row r="214" spans="1:10" ht="15" customHeight="1">
      <c r="A214" s="58"/>
      <c r="B214" s="74" t="s">
        <v>132</v>
      </c>
      <c r="C214" s="61"/>
      <c r="D214" s="56">
        <f t="shared" si="16"/>
        <v>40811</v>
      </c>
      <c r="E214" s="95">
        <v>6100</v>
      </c>
      <c r="F214" s="95">
        <v>403</v>
      </c>
      <c r="G214" s="56"/>
      <c r="H214" s="54">
        <f>'4.pielikums'!B191</f>
        <v>47314</v>
      </c>
      <c r="I214" s="77"/>
      <c r="J214" s="77"/>
    </row>
    <row r="215" spans="1:10" ht="15" customHeight="1">
      <c r="A215" s="58"/>
      <c r="B215" s="86" t="s">
        <v>308</v>
      </c>
      <c r="C215" s="66"/>
      <c r="D215" s="56">
        <f t="shared" si="16"/>
        <v>11889</v>
      </c>
      <c r="E215" s="95">
        <f>25+200</f>
        <v>225</v>
      </c>
      <c r="F215" s="96"/>
      <c r="G215" s="56"/>
      <c r="H215" s="54">
        <f>'4.pielikums'!B192</f>
        <v>12114</v>
      </c>
      <c r="I215" s="77"/>
      <c r="J215" s="77"/>
    </row>
    <row r="216" spans="1:10" ht="15" customHeight="1">
      <c r="A216" s="58"/>
      <c r="B216" s="106" t="s">
        <v>159</v>
      </c>
      <c r="C216" s="61"/>
      <c r="D216" s="56">
        <f t="shared" si="16"/>
        <v>31241</v>
      </c>
      <c r="E216" s="95">
        <v>5000</v>
      </c>
      <c r="F216" s="95">
        <v>1209</v>
      </c>
      <c r="G216" s="56"/>
      <c r="H216" s="54">
        <f>'4.pielikums'!B193</f>
        <v>37450</v>
      </c>
      <c r="I216" s="77"/>
      <c r="J216" s="77"/>
    </row>
    <row r="217" spans="1:10" ht="15" customHeight="1">
      <c r="A217" s="58"/>
      <c r="B217" s="86" t="s">
        <v>206</v>
      </c>
      <c r="C217" s="66"/>
      <c r="D217" s="56">
        <f t="shared" si="16"/>
        <v>24684</v>
      </c>
      <c r="E217" s="95">
        <f>50+560</f>
        <v>610</v>
      </c>
      <c r="F217" s="95"/>
      <c r="G217" s="56"/>
      <c r="H217" s="54">
        <f>'4.pielikums'!B194</f>
        <v>25294</v>
      </c>
      <c r="I217" s="77"/>
      <c r="J217" s="77"/>
    </row>
    <row r="218" spans="1:10" ht="15" customHeight="1">
      <c r="A218" s="58"/>
      <c r="B218" s="86" t="s">
        <v>197</v>
      </c>
      <c r="C218" s="66"/>
      <c r="D218" s="56">
        <f t="shared" si="16"/>
        <v>18366</v>
      </c>
      <c r="E218" s="95">
        <v>100</v>
      </c>
      <c r="F218" s="95"/>
      <c r="G218" s="56"/>
      <c r="H218" s="54">
        <f>'4.pielikums'!B195</f>
        <v>18466</v>
      </c>
      <c r="I218" s="77"/>
      <c r="J218" s="77"/>
    </row>
    <row r="219" spans="1:10" ht="15" customHeight="1">
      <c r="A219" s="58"/>
      <c r="B219" s="74" t="s">
        <v>191</v>
      </c>
      <c r="C219" s="61"/>
      <c r="D219" s="56">
        <f t="shared" si="16"/>
        <v>59282</v>
      </c>
      <c r="E219" s="95">
        <v>2500</v>
      </c>
      <c r="F219" s="95">
        <v>3224</v>
      </c>
      <c r="G219" s="56"/>
      <c r="H219" s="54">
        <f>'4.pielikums'!B196</f>
        <v>65006</v>
      </c>
      <c r="I219" s="77"/>
      <c r="J219" s="77"/>
    </row>
    <row r="220" spans="1:10" ht="15" customHeight="1">
      <c r="A220" s="58"/>
      <c r="B220" s="86" t="s">
        <v>217</v>
      </c>
      <c r="C220" s="66"/>
      <c r="D220" s="56">
        <f t="shared" si="16"/>
        <v>43048</v>
      </c>
      <c r="E220" s="95">
        <v>2897</v>
      </c>
      <c r="F220" s="95">
        <v>1209</v>
      </c>
      <c r="G220" s="56"/>
      <c r="H220" s="54">
        <f>'4.pielikums'!B197</f>
        <v>47154</v>
      </c>
      <c r="I220" s="77"/>
      <c r="J220" s="77"/>
    </row>
    <row r="221" spans="1:10" ht="15" customHeight="1">
      <c r="A221" s="58"/>
      <c r="B221" s="73" t="s">
        <v>208</v>
      </c>
      <c r="C221" s="61"/>
      <c r="D221" s="56">
        <f t="shared" si="16"/>
        <v>34190</v>
      </c>
      <c r="E221" s="95">
        <f>160+765</f>
        <v>925</v>
      </c>
      <c r="F221" s="95">
        <v>403</v>
      </c>
      <c r="G221" s="56"/>
      <c r="H221" s="54">
        <f>'4.pielikums'!B198</f>
        <v>35518</v>
      </c>
      <c r="I221" s="77"/>
      <c r="J221" s="77"/>
    </row>
    <row r="222" spans="1:10" ht="15" customHeight="1">
      <c r="A222" s="58"/>
      <c r="B222" s="86" t="s">
        <v>41</v>
      </c>
      <c r="C222" s="66"/>
      <c r="D222" s="56">
        <f t="shared" si="16"/>
        <v>26276</v>
      </c>
      <c r="E222" s="95">
        <v>600</v>
      </c>
      <c r="F222" s="95">
        <v>1209</v>
      </c>
      <c r="G222" s="56"/>
      <c r="H222" s="54">
        <f>'4.pielikums'!B199</f>
        <v>28085</v>
      </c>
      <c r="I222" s="77"/>
      <c r="J222" s="77"/>
    </row>
    <row r="223" spans="1:10" ht="15" customHeight="1">
      <c r="A223" s="58"/>
      <c r="B223" s="106" t="s">
        <v>157</v>
      </c>
      <c r="C223" s="61"/>
      <c r="D223" s="56">
        <f t="shared" si="16"/>
        <v>101627</v>
      </c>
      <c r="E223" s="95">
        <v>9600</v>
      </c>
      <c r="F223" s="95">
        <v>4030</v>
      </c>
      <c r="G223" s="56"/>
      <c r="H223" s="54">
        <f>'4.pielikums'!B200</f>
        <v>115257</v>
      </c>
      <c r="I223" s="77"/>
      <c r="J223" s="77"/>
    </row>
    <row r="224" spans="1:10" ht="15" customHeight="1">
      <c r="A224" s="58"/>
      <c r="B224" s="106" t="s">
        <v>156</v>
      </c>
      <c r="C224" s="61"/>
      <c r="D224" s="56">
        <f t="shared" si="16"/>
        <v>47152</v>
      </c>
      <c r="E224" s="95">
        <v>3770</v>
      </c>
      <c r="F224" s="95">
        <v>403</v>
      </c>
      <c r="G224" s="56"/>
      <c r="H224" s="54">
        <f>'4.pielikums'!B201</f>
        <v>51325</v>
      </c>
      <c r="I224" s="77"/>
      <c r="J224" s="77"/>
    </row>
    <row r="225" spans="1:10" ht="30" customHeight="1">
      <c r="A225" s="58"/>
      <c r="B225" s="106" t="s">
        <v>160</v>
      </c>
      <c r="C225" s="61"/>
      <c r="D225" s="56">
        <f t="shared" si="16"/>
        <v>30662</v>
      </c>
      <c r="E225" s="95">
        <v>1700</v>
      </c>
      <c r="F225" s="95">
        <v>1612</v>
      </c>
      <c r="G225" s="56"/>
      <c r="H225" s="54">
        <f>'4.pielikums'!B202</f>
        <v>33974</v>
      </c>
      <c r="I225" s="77"/>
      <c r="J225" s="77"/>
    </row>
    <row r="226" spans="1:10" ht="30" customHeight="1">
      <c r="A226" s="58"/>
      <c r="B226" s="106" t="s">
        <v>309</v>
      </c>
      <c r="C226" s="61"/>
      <c r="D226" s="56">
        <f>H226-E226-G226-F226-C226</f>
        <v>61085</v>
      </c>
      <c r="E226" s="95">
        <v>4675</v>
      </c>
      <c r="F226" s="95">
        <v>1612</v>
      </c>
      <c r="G226" s="56"/>
      <c r="H226" s="54">
        <f>'4.pielikums'!B203</f>
        <v>67372</v>
      </c>
      <c r="I226" s="77"/>
      <c r="J226" s="77"/>
    </row>
    <row r="227" spans="1:10" ht="15" customHeight="1">
      <c r="A227" s="17" t="s">
        <v>311</v>
      </c>
      <c r="B227" s="87" t="s">
        <v>312</v>
      </c>
      <c r="C227" s="70">
        <f>SUM(C228:C235)</f>
        <v>112700</v>
      </c>
      <c r="D227" s="70">
        <f t="shared" si="20" ref="D227:G227">SUM(D228:D235)</f>
        <v>299993</v>
      </c>
      <c r="E227" s="70">
        <f t="shared" si="20"/>
        <v>0</v>
      </c>
      <c r="F227" s="70">
        <f t="shared" si="20"/>
        <v>0</v>
      </c>
      <c r="G227" s="70">
        <f t="shared" si="20"/>
        <v>283341</v>
      </c>
      <c r="H227" s="54">
        <f>SUM(H228:H235)</f>
        <v>696034</v>
      </c>
      <c r="I227" s="77"/>
      <c r="J227" s="77"/>
    </row>
    <row r="228" spans="1:10" ht="15" customHeight="1">
      <c r="A228" s="58"/>
      <c r="B228" s="74" t="s">
        <v>178</v>
      </c>
      <c r="C228" s="61"/>
      <c r="D228" s="56">
        <f t="shared" si="16"/>
        <v>56506</v>
      </c>
      <c r="E228" s="95"/>
      <c r="F228" s="95"/>
      <c r="G228" s="56"/>
      <c r="H228" s="54">
        <f>'4.pielikums'!B205</f>
        <v>56506</v>
      </c>
      <c r="I228" s="77"/>
      <c r="J228" s="77"/>
    </row>
    <row r="229" spans="1:10" ht="15" customHeight="1">
      <c r="A229" s="58"/>
      <c r="B229" s="74" t="s">
        <v>179</v>
      </c>
      <c r="C229" s="61"/>
      <c r="D229" s="56">
        <f t="shared" si="16"/>
        <v>36083</v>
      </c>
      <c r="E229" s="95"/>
      <c r="F229" s="95"/>
      <c r="G229" s="56"/>
      <c r="H229" s="54">
        <f>'4.pielikums'!B206</f>
        <v>36083</v>
      </c>
      <c r="I229" s="77"/>
      <c r="J229" s="77"/>
    </row>
    <row r="230" spans="1:10" ht="30" customHeight="1">
      <c r="A230" s="58"/>
      <c r="B230" s="73" t="s">
        <v>42</v>
      </c>
      <c r="C230" s="61"/>
      <c r="D230" s="56">
        <f t="shared" si="16"/>
        <v>62508</v>
      </c>
      <c r="E230" s="95"/>
      <c r="F230" s="95"/>
      <c r="G230" s="56"/>
      <c r="H230" s="54">
        <f>'4.pielikums'!B207</f>
        <v>62508</v>
      </c>
      <c r="I230" s="77"/>
      <c r="J230" s="77"/>
    </row>
    <row r="231" spans="1:10" ht="45" customHeight="1">
      <c r="A231" s="58"/>
      <c r="B231" s="106" t="s">
        <v>230</v>
      </c>
      <c r="C231" s="61"/>
      <c r="D231" s="56">
        <f t="shared" si="16"/>
        <v>7745</v>
      </c>
      <c r="E231" s="95"/>
      <c r="F231" s="95"/>
      <c r="G231" s="56"/>
      <c r="H231" s="54">
        <f>'4.pielikums'!B204</f>
        <v>7745</v>
      </c>
      <c r="I231" s="77"/>
      <c r="J231" s="77"/>
    </row>
    <row r="232" spans="1:10" ht="33.75" customHeight="1">
      <c r="A232" s="17"/>
      <c r="B232" s="73" t="s">
        <v>240</v>
      </c>
      <c r="C232" s="61"/>
      <c r="D232" s="56">
        <f>H232-E232-G232-F232-C232</f>
        <v>28301</v>
      </c>
      <c r="E232" s="95"/>
      <c r="F232" s="95">
        <v>0</v>
      </c>
      <c r="G232" s="56">
        <v>283341</v>
      </c>
      <c r="H232" s="54">
        <f>'4.pielikums'!B308</f>
        <v>311642</v>
      </c>
      <c r="I232" s="77"/>
      <c r="J232" s="77"/>
    </row>
    <row r="233" spans="1:10" ht="33.75" customHeight="1">
      <c r="A233" s="17"/>
      <c r="B233" s="73" t="s">
        <v>242</v>
      </c>
      <c r="C233" s="61">
        <v>112700</v>
      </c>
      <c r="D233" s="56">
        <f>H233-E233-G233-F233-C233</f>
        <v>75510</v>
      </c>
      <c r="E233" s="95"/>
      <c r="F233" s="95"/>
      <c r="G233" s="56"/>
      <c r="H233" s="54">
        <f>'4.pielikums'!B304</f>
        <v>188210</v>
      </c>
      <c r="I233" s="77"/>
      <c r="J233" s="77"/>
    </row>
    <row r="234" spans="1:10" ht="24.75" customHeight="1">
      <c r="A234" s="17"/>
      <c r="B234" s="73" t="s">
        <v>782</v>
      </c>
      <c r="C234" s="61"/>
      <c r="D234" s="56">
        <f>H234-E234-G234-F234-C234</f>
        <v>21130</v>
      </c>
      <c r="E234" s="95"/>
      <c r="F234" s="95"/>
      <c r="G234" s="56"/>
      <c r="H234" s="54">
        <f>'4.pielikums'!B315</f>
        <v>21130</v>
      </c>
      <c r="I234" s="77"/>
      <c r="J234" s="77"/>
    </row>
    <row r="235" spans="1:10" ht="30" customHeight="1">
      <c r="A235" s="17"/>
      <c r="B235" s="73" t="s">
        <v>764</v>
      </c>
      <c r="C235" s="61"/>
      <c r="D235" s="56">
        <f>H235-E235-G235-F235-C235</f>
        <v>12210</v>
      </c>
      <c r="E235" s="56"/>
      <c r="F235" s="56"/>
      <c r="G235" s="56"/>
      <c r="H235" s="54">
        <f>'4.pielikums'!B313</f>
        <v>12210</v>
      </c>
      <c r="I235" s="77"/>
      <c r="J235" s="77"/>
    </row>
    <row r="236" spans="1:10" ht="15" customHeight="1">
      <c r="A236" s="17" t="s">
        <v>313</v>
      </c>
      <c r="B236" s="85" t="s">
        <v>314</v>
      </c>
      <c r="C236" s="65">
        <f t="shared" si="21" ref="C236:G236">C237+C245+C256+C264+C272+C274</f>
        <v>92019</v>
      </c>
      <c r="D236" s="65">
        <f>D237+D245+D256+D264+D272+D274</f>
        <v>8388321.9800000004</v>
      </c>
      <c r="E236" s="65">
        <f t="shared" si="21"/>
        <v>662928</v>
      </c>
      <c r="F236" s="65">
        <f>F237+F245+F256+F264+F272+F274</f>
        <v>5451134</v>
      </c>
      <c r="G236" s="65">
        <f t="shared" si="21"/>
        <v>96710</v>
      </c>
      <c r="H236" s="54">
        <f>H237+H245+H256+H264+H272+H274</f>
        <v>14691112.98</v>
      </c>
      <c r="I236" s="77"/>
      <c r="J236" s="77"/>
    </row>
    <row r="237" spans="1:10" ht="15" customHeight="1">
      <c r="A237" s="17"/>
      <c r="B237" s="85" t="s">
        <v>315</v>
      </c>
      <c r="C237" s="65">
        <f>SUM(C238:C243)</f>
        <v>0</v>
      </c>
      <c r="D237" s="65">
        <f t="shared" si="22" ref="D237:G237">SUM(D238:D243)</f>
        <v>1793852</v>
      </c>
      <c r="E237" s="65">
        <f t="shared" si="22"/>
        <v>414194</v>
      </c>
      <c r="F237" s="65">
        <f t="shared" si="22"/>
        <v>420166</v>
      </c>
      <c r="G237" s="65">
        <f t="shared" si="22"/>
        <v>0</v>
      </c>
      <c r="H237" s="54">
        <f>SUM(H238:H243)</f>
        <v>2628212</v>
      </c>
      <c r="I237" s="77"/>
      <c r="J237" s="77"/>
    </row>
    <row r="238" spans="1:10" ht="15" customHeight="1">
      <c r="A238" s="58"/>
      <c r="B238" s="86" t="s">
        <v>43</v>
      </c>
      <c r="C238" s="66"/>
      <c r="D238" s="56">
        <f t="shared" si="23" ref="D238:D243">H238-E238-G238-F238-C238</f>
        <v>541448</v>
      </c>
      <c r="E238" s="95">
        <f>41200+223168</f>
        <v>264368</v>
      </c>
      <c r="F238" s="95">
        <f>223168+3429</f>
        <v>226597</v>
      </c>
      <c r="G238" s="56"/>
      <c r="H238" s="54">
        <f>'4.pielikums'!B208</f>
        <v>1032413</v>
      </c>
      <c r="I238" s="77"/>
      <c r="J238" s="77"/>
    </row>
    <row r="239" spans="1:10" ht="15" customHeight="1">
      <c r="A239" s="58"/>
      <c r="B239" s="86" t="s">
        <v>44</v>
      </c>
      <c r="C239" s="66"/>
      <c r="D239" s="56">
        <f t="shared" si="23"/>
        <v>480530</v>
      </c>
      <c r="E239" s="95">
        <f>25000+81680</f>
        <v>106680</v>
      </c>
      <c r="F239" s="95">
        <f>81680+2030</f>
        <v>83710</v>
      </c>
      <c r="G239" s="56"/>
      <c r="H239" s="54">
        <f>'4.pielikums'!B210</f>
        <v>670920</v>
      </c>
      <c r="I239" s="77"/>
      <c r="J239" s="77"/>
    </row>
    <row r="240" spans="1:10" ht="15" customHeight="1">
      <c r="A240" s="58"/>
      <c r="B240" s="86" t="s">
        <v>45</v>
      </c>
      <c r="C240" s="66"/>
      <c r="D240" s="56">
        <f t="shared" si="23"/>
        <v>97708</v>
      </c>
      <c r="E240" s="95">
        <f>3700+12320</f>
        <v>16020</v>
      </c>
      <c r="F240" s="95">
        <f>12320+210</f>
        <v>12530</v>
      </c>
      <c r="G240" s="56"/>
      <c r="H240" s="54">
        <f>'4.pielikums'!B212</f>
        <v>126258</v>
      </c>
      <c r="I240" s="77"/>
      <c r="J240" s="77"/>
    </row>
    <row r="241" spans="1:10" ht="15" customHeight="1">
      <c r="A241" s="58"/>
      <c r="B241" s="86" t="s">
        <v>46</v>
      </c>
      <c r="C241" s="66"/>
      <c r="D241" s="56">
        <f t="shared" si="23"/>
        <v>299272</v>
      </c>
      <c r="E241" s="95">
        <f>12551+1875</f>
        <v>14426</v>
      </c>
      <c r="F241" s="95">
        <f>36616+910</f>
        <v>37526</v>
      </c>
      <c r="G241" s="56"/>
      <c r="H241" s="54">
        <f>'4.pielikums'!B214</f>
        <v>351224</v>
      </c>
      <c r="I241" s="77"/>
      <c r="J241" s="77"/>
    </row>
    <row r="242" spans="1:10" ht="30" customHeight="1">
      <c r="A242" s="58"/>
      <c r="B242" s="106" t="s">
        <v>166</v>
      </c>
      <c r="C242" s="61"/>
      <c r="D242" s="56">
        <f t="shared" si="23"/>
        <v>242827</v>
      </c>
      <c r="E242" s="95">
        <v>8300</v>
      </c>
      <c r="F242" s="95">
        <f>41499+980</f>
        <v>42479</v>
      </c>
      <c r="G242" s="56"/>
      <c r="H242" s="54">
        <f>'4.pielikums'!B216</f>
        <v>293606</v>
      </c>
      <c r="I242" s="77"/>
      <c r="J242" s="77"/>
    </row>
    <row r="243" spans="1:10" ht="30" customHeight="1">
      <c r="A243" s="58"/>
      <c r="B243" s="106" t="s">
        <v>167</v>
      </c>
      <c r="C243" s="61"/>
      <c r="D243" s="56">
        <f t="shared" si="23"/>
        <v>132067</v>
      </c>
      <c r="E243" s="95">
        <f>3850+550</f>
        <v>4400</v>
      </c>
      <c r="F243" s="95">
        <f>16904+420</f>
        <v>17324</v>
      </c>
      <c r="G243" s="56"/>
      <c r="H243" s="54">
        <f>'4.pielikums'!B218</f>
        <v>153791</v>
      </c>
      <c r="I243" s="77"/>
      <c r="J243" s="77"/>
    </row>
    <row r="244" spans="1:10" ht="31.5">
      <c r="A244" s="17"/>
      <c r="B244" s="112" t="s">
        <v>316</v>
      </c>
      <c r="C244" s="64"/>
      <c r="D244" s="56"/>
      <c r="E244" s="95"/>
      <c r="F244" s="95"/>
      <c r="G244" s="56"/>
      <c r="H244" s="54"/>
      <c r="I244" s="77"/>
      <c r="J244" s="77"/>
    </row>
    <row r="245" spans="1:10" ht="15" customHeight="1">
      <c r="A245" s="17"/>
      <c r="B245" s="85" t="s">
        <v>317</v>
      </c>
      <c r="C245" s="65">
        <f>SUM(C246:C255)</f>
        <v>0</v>
      </c>
      <c r="D245" s="65">
        <f t="shared" si="24" ref="D245:G245">SUM(D246:D255)</f>
        <v>2229914</v>
      </c>
      <c r="E245" s="65">
        <f>SUM(E246:E255)</f>
        <v>56950</v>
      </c>
      <c r="F245" s="65">
        <f t="shared" si="24"/>
        <v>1963741</v>
      </c>
      <c r="G245" s="65">
        <f t="shared" si="24"/>
        <v>0</v>
      </c>
      <c r="H245" s="54">
        <f>SUM(H246:H255)</f>
        <v>4250605</v>
      </c>
      <c r="I245" s="77"/>
      <c r="J245" s="77"/>
    </row>
    <row r="246" spans="1:10" ht="15" customHeight="1">
      <c r="A246" s="58"/>
      <c r="B246" s="86" t="s">
        <v>83</v>
      </c>
      <c r="C246" s="66"/>
      <c r="D246" s="56">
        <f t="shared" si="25" ref="D246:D304">H246-E246-G246-F246-C246</f>
        <v>474144</v>
      </c>
      <c r="E246" s="95">
        <f>1332+6047</f>
        <v>7379</v>
      </c>
      <c r="F246" s="102">
        <f>17416+657336+81018+16271</f>
        <v>772041</v>
      </c>
      <c r="G246" s="56"/>
      <c r="H246" s="54">
        <f>'4.pielikums'!B220</f>
        <v>1253564</v>
      </c>
      <c r="I246" s="77"/>
      <c r="J246" s="77"/>
    </row>
    <row r="247" spans="1:10" ht="15" customHeight="1">
      <c r="A247" s="58"/>
      <c r="B247" s="86" t="s">
        <v>173</v>
      </c>
      <c r="C247" s="66"/>
      <c r="D247" s="56">
        <f t="shared" si="25"/>
        <v>343254</v>
      </c>
      <c r="E247" s="95">
        <v>17074</v>
      </c>
      <c r="F247" s="95">
        <f>6605+105784+6096+16904+2309</f>
        <v>137698</v>
      </c>
      <c r="G247" s="56"/>
      <c r="H247" s="54">
        <f>'4.pielikums'!B222</f>
        <v>498026</v>
      </c>
      <c r="I247" s="77"/>
      <c r="J247" s="77"/>
    </row>
    <row r="248" spans="1:10" ht="30" customHeight="1">
      <c r="A248" s="58"/>
      <c r="B248" s="97" t="s">
        <v>319</v>
      </c>
      <c r="C248" s="94"/>
      <c r="D248" s="95">
        <f t="shared" si="25"/>
        <v>27584</v>
      </c>
      <c r="E248" s="95">
        <v>100</v>
      </c>
      <c r="F248" s="95"/>
      <c r="G248" s="95"/>
      <c r="H248" s="54">
        <f>'4.pielikums'!B224</f>
        <v>27684</v>
      </c>
      <c r="I248" s="77"/>
      <c r="J248" s="77"/>
    </row>
    <row r="249" spans="1:10" ht="15" customHeight="1">
      <c r="A249" s="58"/>
      <c r="B249" s="86" t="s">
        <v>318</v>
      </c>
      <c r="C249" s="66"/>
      <c r="D249" s="56">
        <f t="shared" si="25"/>
        <v>219383</v>
      </c>
      <c r="E249" s="95">
        <v>7050</v>
      </c>
      <c r="F249" s="102">
        <f>5509+10912+214456+2176+55171+5509+2344</f>
        <v>296077</v>
      </c>
      <c r="G249" s="56"/>
      <c r="H249" s="54">
        <f>'4.pielikums'!B225</f>
        <v>522510</v>
      </c>
      <c r="I249" s="77"/>
      <c r="J249" s="77"/>
    </row>
    <row r="250" spans="1:10" ht="15" customHeight="1">
      <c r="A250" s="58"/>
      <c r="B250" s="86" t="s">
        <v>47</v>
      </c>
      <c r="C250" s="66"/>
      <c r="D250" s="56">
        <f t="shared" si="25"/>
        <v>202612</v>
      </c>
      <c r="E250" s="95">
        <f>2574</f>
        <v>2574</v>
      </c>
      <c r="F250" s="95">
        <f>6341+4352+189800+2030</f>
        <v>202523</v>
      </c>
      <c r="G250" s="56"/>
      <c r="H250" s="54">
        <f>'4.pielikums'!B227</f>
        <v>407709</v>
      </c>
      <c r="I250" s="77"/>
      <c r="J250" s="77"/>
    </row>
    <row r="251" spans="1:10" ht="15" customHeight="1">
      <c r="A251" s="58"/>
      <c r="B251" s="86" t="s">
        <v>235</v>
      </c>
      <c r="C251" s="66"/>
      <c r="D251" s="56">
        <f t="shared" si="25"/>
        <v>281107</v>
      </c>
      <c r="E251" s="95">
        <v>7988</v>
      </c>
      <c r="F251" s="95">
        <f>27585+10016+299232+11812+18304+7512+3989</f>
        <v>378450</v>
      </c>
      <c r="G251" s="56"/>
      <c r="H251" s="54">
        <f>'4.pielikums'!B229</f>
        <v>667545</v>
      </c>
      <c r="I251" s="77"/>
      <c r="J251" s="77"/>
    </row>
    <row r="252" spans="1:10" ht="30" customHeight="1">
      <c r="A252" s="58"/>
      <c r="B252" s="74" t="s">
        <v>237</v>
      </c>
      <c r="C252" s="61"/>
      <c r="D252" s="56">
        <f t="shared" si="25"/>
        <v>143332</v>
      </c>
      <c r="E252" s="95">
        <v>7556</v>
      </c>
      <c r="F252" s="95"/>
      <c r="G252" s="56"/>
      <c r="H252" s="54">
        <f>'4.pielikums'!B231</f>
        <v>150888</v>
      </c>
      <c r="I252" s="77"/>
      <c r="J252" s="77"/>
    </row>
    <row r="253" spans="1:10" ht="30" customHeight="1">
      <c r="A253" s="58"/>
      <c r="B253" s="74" t="s">
        <v>236</v>
      </c>
      <c r="C253" s="61"/>
      <c r="D253" s="56">
        <f t="shared" si="25"/>
        <v>108097</v>
      </c>
      <c r="E253" s="95">
        <f>2819+500</f>
        <v>3319</v>
      </c>
      <c r="F253" s="95"/>
      <c r="G253" s="56"/>
      <c r="H253" s="54">
        <f>'4.pielikums'!B232</f>
        <v>111416</v>
      </c>
      <c r="I253" s="77"/>
      <c r="J253" s="77"/>
    </row>
    <row r="254" spans="1:10" ht="15" customHeight="1">
      <c r="A254" s="58"/>
      <c r="B254" s="106" t="s">
        <v>164</v>
      </c>
      <c r="C254" s="61"/>
      <c r="D254" s="56">
        <f t="shared" si="25"/>
        <v>297671</v>
      </c>
      <c r="E254" s="95">
        <v>2650</v>
      </c>
      <c r="F254" s="95">
        <f>2446+159280+4792+5640+2869</f>
        <v>175027</v>
      </c>
      <c r="G254" s="56"/>
      <c r="H254" s="54">
        <f>'4.pielikums'!B233</f>
        <v>475348</v>
      </c>
      <c r="I254" s="77"/>
      <c r="J254" s="77"/>
    </row>
    <row r="255" spans="1:10" ht="15" customHeight="1">
      <c r="A255" s="58"/>
      <c r="B255" s="86" t="s">
        <v>260</v>
      </c>
      <c r="C255" s="66"/>
      <c r="D255" s="56">
        <f t="shared" si="25"/>
        <v>132730</v>
      </c>
      <c r="E255" s="95">
        <f>1150+110</f>
        <v>1260</v>
      </c>
      <c r="F255" s="95">
        <v>1925</v>
      </c>
      <c r="G255" s="56"/>
      <c r="H255" s="54">
        <f>'4.pielikums'!B235</f>
        <v>135915</v>
      </c>
      <c r="I255" s="77"/>
      <c r="J255" s="77"/>
    </row>
    <row r="256" spans="1:10" ht="15" customHeight="1">
      <c r="A256" s="17"/>
      <c r="B256" s="85" t="s">
        <v>320</v>
      </c>
      <c r="C256" s="65">
        <f>SUM(C257:C263)</f>
        <v>0</v>
      </c>
      <c r="D256" s="65">
        <f t="shared" si="26" ref="D256:G256">SUM(D257:D263)</f>
        <v>2367170</v>
      </c>
      <c r="E256" s="65">
        <f t="shared" si="26"/>
        <v>80603</v>
      </c>
      <c r="F256" s="65">
        <f t="shared" si="26"/>
        <v>2064317</v>
      </c>
      <c r="G256" s="65">
        <f t="shared" si="26"/>
        <v>0</v>
      </c>
      <c r="H256" s="54">
        <f>SUM(H257:H263)</f>
        <v>4512090</v>
      </c>
      <c r="I256" s="77"/>
      <c r="J256" s="77"/>
    </row>
    <row r="257" spans="1:10" ht="15" customHeight="1">
      <c r="A257" s="58"/>
      <c r="B257" s="86" t="s">
        <v>48</v>
      </c>
      <c r="C257" s="66"/>
      <c r="D257" s="56">
        <f t="shared" si="25"/>
        <v>463741</v>
      </c>
      <c r="E257" s="95">
        <v>18072</v>
      </c>
      <c r="F257" s="95">
        <f>10448+503312+9098</f>
        <v>522858</v>
      </c>
      <c r="G257" s="56"/>
      <c r="H257" s="54">
        <f>'4.pielikums'!B236</f>
        <v>1004671</v>
      </c>
      <c r="I257" s="77"/>
      <c r="J257" s="77"/>
    </row>
    <row r="258" spans="1:10" ht="15" customHeight="1">
      <c r="A258" s="58"/>
      <c r="B258" s="86" t="s">
        <v>742</v>
      </c>
      <c r="C258" s="66"/>
      <c r="D258" s="56">
        <f t="shared" si="25"/>
        <v>334570</v>
      </c>
      <c r="E258" s="95">
        <v>8540</v>
      </c>
      <c r="F258" s="95">
        <f>11842+10448+259112+5249</f>
        <v>286651</v>
      </c>
      <c r="G258" s="56"/>
      <c r="H258" s="54">
        <f>'4.pielikums'!B238</f>
        <v>629761</v>
      </c>
      <c r="I258" s="77"/>
      <c r="J258" s="77"/>
    </row>
    <row r="259" spans="1:10" ht="30" customHeight="1">
      <c r="A259" s="58"/>
      <c r="B259" s="74" t="s">
        <v>321</v>
      </c>
      <c r="C259" s="61"/>
      <c r="D259" s="56">
        <f t="shared" si="25"/>
        <v>401750</v>
      </c>
      <c r="E259" s="95">
        <v>9950</v>
      </c>
      <c r="F259" s="95">
        <f>10880+277968+182000+5459</f>
        <v>476307</v>
      </c>
      <c r="G259" s="56"/>
      <c r="H259" s="54">
        <f>'4.pielikums'!B240</f>
        <v>888007</v>
      </c>
      <c r="I259" s="77"/>
      <c r="J259" s="77"/>
    </row>
    <row r="260" spans="1:10" ht="30" customHeight="1">
      <c r="A260" s="58"/>
      <c r="B260" s="74" t="s">
        <v>721</v>
      </c>
      <c r="C260" s="61"/>
      <c r="D260" s="56">
        <f t="shared" si="25"/>
        <v>85447</v>
      </c>
      <c r="E260" s="95">
        <v>16000</v>
      </c>
      <c r="F260" s="95">
        <v>3000</v>
      </c>
      <c r="G260" s="56"/>
      <c r="H260" s="54">
        <f>'4.pielikums'!B242</f>
        <v>104447</v>
      </c>
      <c r="I260" s="77"/>
      <c r="J260" s="77"/>
    </row>
    <row r="261" spans="1:10" ht="15" customHeight="1">
      <c r="A261" s="58"/>
      <c r="B261" s="74" t="s">
        <v>171</v>
      </c>
      <c r="C261" s="61"/>
      <c r="D261" s="56">
        <f t="shared" si="25"/>
        <v>214277</v>
      </c>
      <c r="E261" s="95">
        <f>1700+2500</f>
        <v>4200</v>
      </c>
      <c r="F261" s="95">
        <f>9472+30984+10016+170680+4339</f>
        <v>225491</v>
      </c>
      <c r="G261" s="56"/>
      <c r="H261" s="54">
        <f>'4.pielikums'!B243</f>
        <v>443968</v>
      </c>
      <c r="I261" s="77"/>
      <c r="J261" s="77"/>
    </row>
    <row r="262" spans="1:10" ht="15" customHeight="1">
      <c r="A262" s="58"/>
      <c r="B262" s="74" t="s">
        <v>163</v>
      </c>
      <c r="C262" s="61"/>
      <c r="D262" s="56">
        <f t="shared" si="25"/>
        <v>413095</v>
      </c>
      <c r="E262" s="95">
        <f>4100+2201+1560+5440</f>
        <v>13301</v>
      </c>
      <c r="F262" s="95">
        <f>9698+38920+171656+6968+4409</f>
        <v>231651</v>
      </c>
      <c r="G262" s="56"/>
      <c r="H262" s="54">
        <f>'4.pielikums'!B245</f>
        <v>658047</v>
      </c>
      <c r="I262" s="77"/>
      <c r="J262" s="77"/>
    </row>
    <row r="263" spans="1:10" ht="15" customHeight="1">
      <c r="A263" s="58"/>
      <c r="B263" s="74" t="s">
        <v>175</v>
      </c>
      <c r="C263" s="61"/>
      <c r="D263" s="56">
        <f t="shared" si="25"/>
        <v>454290</v>
      </c>
      <c r="E263" s="102">
        <v>10540</v>
      </c>
      <c r="F263" s="95">
        <f>12596+9144+242440+47880+6299</f>
        <v>318359</v>
      </c>
      <c r="G263" s="56"/>
      <c r="H263" s="54">
        <f>'4.pielikums'!B247</f>
        <v>783189</v>
      </c>
      <c r="I263" s="77"/>
      <c r="J263" s="77"/>
    </row>
    <row r="264" spans="1:10" ht="30" customHeight="1">
      <c r="A264" s="71"/>
      <c r="B264" s="112" t="s">
        <v>322</v>
      </c>
      <c r="C264" s="65">
        <f>SUM(C265:C271)</f>
        <v>0</v>
      </c>
      <c r="D264" s="65">
        <f t="shared" si="27" ref="D264:G264">SUM(D265:D271)</f>
        <v>1107962</v>
      </c>
      <c r="E264" s="65">
        <f t="shared" si="27"/>
        <v>104781</v>
      </c>
      <c r="F264" s="65">
        <f t="shared" si="27"/>
        <v>967524</v>
      </c>
      <c r="G264" s="65">
        <f t="shared" si="27"/>
        <v>0</v>
      </c>
      <c r="H264" s="54">
        <f>SUM(H265:H271)</f>
        <v>2180267</v>
      </c>
      <c r="I264" s="77"/>
      <c r="J264" s="77"/>
    </row>
    <row r="265" spans="1:10" ht="15" customHeight="1">
      <c r="A265" s="58"/>
      <c r="B265" s="86" t="s">
        <v>49</v>
      </c>
      <c r="C265" s="66"/>
      <c r="D265" s="56">
        <f t="shared" si="25"/>
        <v>164804</v>
      </c>
      <c r="E265" s="95">
        <v>10454</v>
      </c>
      <c r="F265" s="95">
        <f>336467+6528</f>
        <v>342995</v>
      </c>
      <c r="G265" s="56"/>
      <c r="H265" s="54">
        <f>'4.pielikums'!B249</f>
        <v>518253</v>
      </c>
      <c r="I265" s="77"/>
      <c r="J265" s="77"/>
    </row>
    <row r="266" spans="1:10" ht="15" customHeight="1">
      <c r="A266" s="58"/>
      <c r="B266" s="86" t="s">
        <v>50</v>
      </c>
      <c r="C266" s="66"/>
      <c r="D266" s="56">
        <f t="shared" si="25"/>
        <v>148383</v>
      </c>
      <c r="E266" s="95">
        <v>8020</v>
      </c>
      <c r="F266" s="95">
        <f>38727+2616</f>
        <v>41343</v>
      </c>
      <c r="G266" s="56"/>
      <c r="H266" s="54">
        <f>'4.pielikums'!B250</f>
        <v>197746</v>
      </c>
      <c r="I266" s="77"/>
      <c r="J266" s="77"/>
    </row>
    <row r="267" spans="1:10" ht="15" customHeight="1">
      <c r="A267" s="58"/>
      <c r="B267" s="73" t="s">
        <v>170</v>
      </c>
      <c r="C267" s="61"/>
      <c r="D267" s="56">
        <f t="shared" si="25"/>
        <v>107184</v>
      </c>
      <c r="E267" s="95">
        <v>1775</v>
      </c>
      <c r="F267" s="95">
        <f>432+63129</f>
        <v>63561</v>
      </c>
      <c r="G267" s="56"/>
      <c r="H267" s="54">
        <f>'4.pielikums'!B251</f>
        <v>172520</v>
      </c>
      <c r="I267" s="77"/>
      <c r="J267" s="77"/>
    </row>
    <row r="268" spans="1:10" ht="15" customHeight="1">
      <c r="A268" s="58"/>
      <c r="B268" s="106" t="s">
        <v>162</v>
      </c>
      <c r="C268" s="61"/>
      <c r="D268" s="56">
        <f t="shared" si="25"/>
        <v>44020</v>
      </c>
      <c r="E268" s="95">
        <f>4100+396</f>
        <v>4496</v>
      </c>
      <c r="F268" s="95">
        <f>99734+1744</f>
        <v>101478</v>
      </c>
      <c r="G268" s="56"/>
      <c r="H268" s="54">
        <f>'4.pielikums'!B252</f>
        <v>149994</v>
      </c>
      <c r="I268" s="77"/>
      <c r="J268" s="77"/>
    </row>
    <row r="269" spans="1:10" ht="15" customHeight="1">
      <c r="A269" s="58"/>
      <c r="B269" s="86" t="s">
        <v>51</v>
      </c>
      <c r="C269" s="66"/>
      <c r="D269" s="56">
        <f t="shared" si="25"/>
        <v>267379</v>
      </c>
      <c r="E269" s="95">
        <v>300</v>
      </c>
      <c r="F269" s="102">
        <f>374372+7960</f>
        <v>382332</v>
      </c>
      <c r="G269" s="56"/>
      <c r="H269" s="54">
        <f>'4.pielikums'!B253</f>
        <v>650011</v>
      </c>
      <c r="I269" s="77"/>
      <c r="J269" s="77"/>
    </row>
    <row r="270" spans="1:10" ht="15" customHeight="1">
      <c r="A270" s="58"/>
      <c r="B270" s="86" t="s">
        <v>323</v>
      </c>
      <c r="C270" s="66"/>
      <c r="D270" s="56">
        <f t="shared" si="25"/>
        <v>146863</v>
      </c>
      <c r="E270" s="95">
        <v>77384</v>
      </c>
      <c r="F270" s="96"/>
      <c r="G270" s="56"/>
      <c r="H270" s="54">
        <f>'4.pielikums'!B254</f>
        <v>224247</v>
      </c>
      <c r="I270" s="77"/>
      <c r="J270" s="77"/>
    </row>
    <row r="271" spans="1:10" ht="15" customHeight="1">
      <c r="A271" s="58"/>
      <c r="B271" s="86" t="s">
        <v>324</v>
      </c>
      <c r="C271" s="66"/>
      <c r="D271" s="56">
        <f t="shared" si="25"/>
        <v>229329</v>
      </c>
      <c r="E271" s="56">
        <v>2352</v>
      </c>
      <c r="F271" s="56">
        <v>35815</v>
      </c>
      <c r="G271" s="56"/>
      <c r="H271" s="54">
        <f>'4.pielikums'!B255</f>
        <v>267496</v>
      </c>
      <c r="I271" s="77"/>
      <c r="J271" s="77"/>
    </row>
    <row r="272" spans="1:10" ht="15" customHeight="1">
      <c r="A272" s="17"/>
      <c r="B272" s="112" t="s">
        <v>325</v>
      </c>
      <c r="C272" s="65">
        <f t="shared" si="28" ref="C272:H272">C273</f>
        <v>0</v>
      </c>
      <c r="D272" s="65">
        <f t="shared" si="28"/>
        <v>245793</v>
      </c>
      <c r="E272" s="65">
        <f t="shared" si="28"/>
        <v>0</v>
      </c>
      <c r="F272" s="65">
        <f t="shared" si="28"/>
        <v>0</v>
      </c>
      <c r="G272" s="65">
        <f t="shared" si="28"/>
        <v>0</v>
      </c>
      <c r="H272" s="54">
        <f t="shared" si="28"/>
        <v>245793</v>
      </c>
      <c r="I272" s="77"/>
      <c r="J272" s="77"/>
    </row>
    <row r="273" spans="1:10" ht="15" customHeight="1">
      <c r="A273" s="62"/>
      <c r="B273" s="73" t="s">
        <v>169</v>
      </c>
      <c r="C273" s="61"/>
      <c r="D273" s="56">
        <f t="shared" si="25"/>
        <v>245793</v>
      </c>
      <c r="E273" s="56"/>
      <c r="F273" s="56"/>
      <c r="G273" s="56"/>
      <c r="H273" s="54">
        <f>'4.pielikums'!B256</f>
        <v>245793</v>
      </c>
      <c r="I273" s="77"/>
      <c r="J273" s="77"/>
    </row>
    <row r="274" spans="1:10" ht="30" customHeight="1">
      <c r="A274" s="69"/>
      <c r="B274" s="112" t="s">
        <v>326</v>
      </c>
      <c r="C274" s="65">
        <f t="shared" si="29" ref="C274:H274">SUM(C275:C299)</f>
        <v>92019</v>
      </c>
      <c r="D274" s="65">
        <f t="shared" si="29"/>
        <v>643630.98</v>
      </c>
      <c r="E274" s="65">
        <f t="shared" si="29"/>
        <v>6400</v>
      </c>
      <c r="F274" s="65">
        <f t="shared" si="29"/>
        <v>35386</v>
      </c>
      <c r="G274" s="65">
        <f t="shared" si="29"/>
        <v>96710</v>
      </c>
      <c r="H274" s="54">
        <f t="shared" si="29"/>
        <v>874145.98</v>
      </c>
      <c r="I274" s="77"/>
      <c r="J274" s="77"/>
    </row>
    <row r="275" spans="1:10" ht="15" customHeight="1">
      <c r="A275" s="57"/>
      <c r="B275" s="97" t="s">
        <v>177</v>
      </c>
      <c r="C275" s="60"/>
      <c r="D275" s="56">
        <f t="shared" si="25"/>
        <v>51980</v>
      </c>
      <c r="E275" s="56">
        <f>5000</f>
        <v>5000</v>
      </c>
      <c r="F275" s="56"/>
      <c r="G275" s="56"/>
      <c r="H275" s="54">
        <f>'4.pielikums'!B257</f>
        <v>56980</v>
      </c>
      <c r="I275" s="77"/>
      <c r="J275" s="77"/>
    </row>
    <row r="276" spans="1:10" ht="15" customHeight="1">
      <c r="A276" s="58"/>
      <c r="B276" s="106" t="s">
        <v>67</v>
      </c>
      <c r="C276" s="60"/>
      <c r="D276" s="56">
        <f t="shared" si="25"/>
        <v>12789</v>
      </c>
      <c r="E276" s="56"/>
      <c r="F276" s="55">
        <v>0</v>
      </c>
      <c r="G276" s="56"/>
      <c r="H276" s="54">
        <f>'4.pielikums'!B258</f>
        <v>12789</v>
      </c>
      <c r="I276" s="77"/>
      <c r="J276" s="77"/>
    </row>
    <row r="277" spans="1:10" ht="15" customHeight="1">
      <c r="A277" s="58"/>
      <c r="B277" s="105" t="s">
        <v>210</v>
      </c>
      <c r="C277" s="60"/>
      <c r="D277" s="56">
        <f t="shared" si="25"/>
        <v>19080</v>
      </c>
      <c r="E277" s="56"/>
      <c r="F277" s="56"/>
      <c r="G277" s="56"/>
      <c r="H277" s="54">
        <f>'4.pielikums'!B259</f>
        <v>19080</v>
      </c>
      <c r="I277" s="77"/>
      <c r="J277" s="77"/>
    </row>
    <row r="278" spans="1:10" ht="30" customHeight="1">
      <c r="A278" s="58"/>
      <c r="B278" s="113" t="s">
        <v>195</v>
      </c>
      <c r="C278" s="60"/>
      <c r="D278" s="56">
        <f t="shared" si="25"/>
        <v>20934</v>
      </c>
      <c r="E278" s="56"/>
      <c r="F278" s="56"/>
      <c r="G278" s="56"/>
      <c r="H278" s="54">
        <f>'4.pielikums'!B260</f>
        <v>20934</v>
      </c>
      <c r="I278" s="77"/>
      <c r="J278" s="77"/>
    </row>
    <row r="279" spans="1:10" ht="15" customHeight="1">
      <c r="A279" s="57"/>
      <c r="B279" s="113" t="s">
        <v>196</v>
      </c>
      <c r="C279" s="60"/>
      <c r="D279" s="56">
        <f t="shared" si="25"/>
        <v>23077</v>
      </c>
      <c r="E279" s="56"/>
      <c r="F279" s="56"/>
      <c r="G279" s="56"/>
      <c r="H279" s="54">
        <f>'4.pielikums'!B261</f>
        <v>23077</v>
      </c>
      <c r="I279" s="77"/>
      <c r="J279" s="77"/>
    </row>
    <row r="280" spans="1:10" ht="15" customHeight="1">
      <c r="A280" s="57"/>
      <c r="B280" s="113" t="s">
        <v>192</v>
      </c>
      <c r="C280" s="60"/>
      <c r="D280" s="56">
        <f t="shared" si="25"/>
        <v>27334</v>
      </c>
      <c r="E280" s="56"/>
      <c r="F280" s="56"/>
      <c r="G280" s="56"/>
      <c r="H280" s="54">
        <f>'4.pielikums'!B262</f>
        <v>27334</v>
      </c>
      <c r="I280" s="77"/>
      <c r="J280" s="77"/>
    </row>
    <row r="281" spans="1:10" ht="15" customHeight="1">
      <c r="A281" s="57"/>
      <c r="B281" s="113" t="s">
        <v>213</v>
      </c>
      <c r="C281" s="60"/>
      <c r="D281" s="56">
        <f t="shared" si="25"/>
        <v>24564</v>
      </c>
      <c r="E281" s="56"/>
      <c r="F281" s="56"/>
      <c r="G281" s="56"/>
      <c r="H281" s="54">
        <f>'4.pielikums'!B263</f>
        <v>24564</v>
      </c>
      <c r="I281" s="77"/>
      <c r="J281" s="77"/>
    </row>
    <row r="282" spans="1:10" ht="15" customHeight="1">
      <c r="A282" s="57"/>
      <c r="B282" s="113" t="s">
        <v>194</v>
      </c>
      <c r="C282" s="60"/>
      <c r="D282" s="56">
        <f>H282-E282-G282-F282-C282</f>
        <v>21750</v>
      </c>
      <c r="E282" s="56"/>
      <c r="F282" s="56"/>
      <c r="G282" s="56"/>
      <c r="H282" s="54">
        <f>'4.pielikums'!B264</f>
        <v>21750</v>
      </c>
      <c r="I282" s="77"/>
      <c r="J282" s="77"/>
    </row>
    <row r="283" spans="1:10" ht="15" customHeight="1">
      <c r="A283" s="57"/>
      <c r="B283" s="114" t="s">
        <v>202</v>
      </c>
      <c r="C283" s="60"/>
      <c r="D283" s="56">
        <f t="shared" si="25"/>
        <v>94630</v>
      </c>
      <c r="E283" s="56"/>
      <c r="F283" s="56"/>
      <c r="G283" s="56"/>
      <c r="H283" s="54">
        <f>'4.pielikums'!B265</f>
        <v>94630</v>
      </c>
      <c r="I283" s="77"/>
      <c r="J283" s="77"/>
    </row>
    <row r="284" spans="1:10" ht="15" customHeight="1">
      <c r="A284" s="57"/>
      <c r="B284" s="113" t="s">
        <v>739</v>
      </c>
      <c r="C284" s="60"/>
      <c r="D284" s="56">
        <f t="shared" si="25"/>
        <v>23505</v>
      </c>
      <c r="E284" s="56">
        <v>200</v>
      </c>
      <c r="F284" s="56"/>
      <c r="G284" s="56"/>
      <c r="H284" s="54">
        <f>'4.pielikums'!B266</f>
        <v>23705</v>
      </c>
      <c r="I284" s="77"/>
      <c r="J284" s="77"/>
    </row>
    <row r="285" spans="1:10" ht="15" customHeight="1">
      <c r="A285" s="57"/>
      <c r="B285" s="113" t="s">
        <v>161</v>
      </c>
      <c r="C285" s="60"/>
      <c r="D285" s="56">
        <f t="shared" si="25"/>
        <v>27744</v>
      </c>
      <c r="E285" s="95">
        <v>900</v>
      </c>
      <c r="F285" s="56"/>
      <c r="G285" s="56"/>
      <c r="H285" s="54">
        <f>'4.pielikums'!B267</f>
        <v>28644</v>
      </c>
      <c r="I285" s="77"/>
      <c r="J285" s="77"/>
    </row>
    <row r="286" spans="1:10" ht="15" customHeight="1">
      <c r="A286" s="57"/>
      <c r="B286" s="115" t="s">
        <v>215</v>
      </c>
      <c r="C286" s="60"/>
      <c r="D286" s="56">
        <f t="shared" si="25"/>
        <v>35852</v>
      </c>
      <c r="E286" s="56"/>
      <c r="F286" s="56"/>
      <c r="G286" s="56"/>
      <c r="H286" s="54">
        <f>'4.pielikums'!B268</f>
        <v>35852</v>
      </c>
      <c r="I286" s="77"/>
      <c r="J286" s="77"/>
    </row>
    <row r="287" spans="1:10" ht="15" customHeight="1">
      <c r="A287" s="57"/>
      <c r="B287" s="113" t="s">
        <v>209</v>
      </c>
      <c r="C287" s="60"/>
      <c r="D287" s="56">
        <f t="shared" si="25"/>
        <v>21643</v>
      </c>
      <c r="E287" s="56"/>
      <c r="F287" s="56"/>
      <c r="G287" s="56"/>
      <c r="H287" s="54">
        <f>'4.pielikums'!B269</f>
        <v>21643</v>
      </c>
      <c r="I287" s="77"/>
      <c r="J287" s="77"/>
    </row>
    <row r="288" spans="1:10" ht="15" customHeight="1">
      <c r="A288" s="57"/>
      <c r="B288" s="113" t="s">
        <v>211</v>
      </c>
      <c r="C288" s="60"/>
      <c r="D288" s="56">
        <f t="shared" si="25"/>
        <v>24653.98</v>
      </c>
      <c r="E288" s="56">
        <v>300</v>
      </c>
      <c r="F288" s="56"/>
      <c r="G288" s="56"/>
      <c r="H288" s="54">
        <f>'4.pielikums'!B270</f>
        <v>24953.98</v>
      </c>
      <c r="I288" s="77"/>
      <c r="J288" s="77"/>
    </row>
    <row r="289" spans="1:10" ht="15" customHeight="1">
      <c r="A289" s="57"/>
      <c r="B289" s="113" t="s">
        <v>201</v>
      </c>
      <c r="C289" s="60"/>
      <c r="D289" s="56">
        <f t="shared" si="25"/>
        <v>28778</v>
      </c>
      <c r="E289" s="56"/>
      <c r="F289" s="56"/>
      <c r="G289" s="56"/>
      <c r="H289" s="54">
        <f>'4.pielikums'!B271</f>
        <v>28778</v>
      </c>
      <c r="I289" s="77"/>
      <c r="J289" s="77"/>
    </row>
    <row r="290" spans="1:10" ht="15" customHeight="1">
      <c r="A290" s="57"/>
      <c r="B290" s="74" t="s">
        <v>52</v>
      </c>
      <c r="C290" s="60"/>
      <c r="D290" s="56">
        <f t="shared" si="25"/>
        <v>8000</v>
      </c>
      <c r="E290" s="56"/>
      <c r="F290" s="56"/>
      <c r="G290" s="56"/>
      <c r="H290" s="54">
        <f>'4.pielikums'!B272</f>
        <v>8000</v>
      </c>
      <c r="I290" s="77"/>
      <c r="J290" s="77"/>
    </row>
    <row r="291" spans="1:10" ht="30" customHeight="1">
      <c r="A291" s="57"/>
      <c r="B291" s="73" t="s">
        <v>81</v>
      </c>
      <c r="C291" s="60"/>
      <c r="D291" s="56">
        <f>H291-E291-G291-F291-C291</f>
        <v>140000</v>
      </c>
      <c r="E291" s="72"/>
      <c r="F291" s="56"/>
      <c r="G291" s="56"/>
      <c r="H291" s="54">
        <f>'4.pielikums'!B273</f>
        <v>140000</v>
      </c>
      <c r="I291" s="77"/>
      <c r="J291" s="77"/>
    </row>
    <row r="292" spans="1:10" ht="30" customHeight="1">
      <c r="A292" s="57"/>
      <c r="B292" s="73" t="s">
        <v>64</v>
      </c>
      <c r="C292" s="60">
        <v>3561</v>
      </c>
      <c r="D292" s="56">
        <f t="shared" si="25"/>
        <v>0</v>
      </c>
      <c r="E292" s="56"/>
      <c r="F292" s="56"/>
      <c r="G292" s="56"/>
      <c r="H292" s="54">
        <f>'4.pielikums'!B274</f>
        <v>3561</v>
      </c>
      <c r="I292" s="77"/>
      <c r="J292" s="77"/>
    </row>
    <row r="293" spans="1:10" ht="30" customHeight="1">
      <c r="A293" s="62"/>
      <c r="B293" s="73" t="s">
        <v>228</v>
      </c>
      <c r="C293" s="60">
        <v>26568</v>
      </c>
      <c r="D293" s="56">
        <f t="shared" si="25"/>
        <v>0</v>
      </c>
      <c r="E293" s="56"/>
      <c r="F293" s="56"/>
      <c r="G293" s="56"/>
      <c r="H293" s="54">
        <f>'4.pielikums'!B275</f>
        <v>26568</v>
      </c>
      <c r="I293" s="77"/>
      <c r="J293" s="77"/>
    </row>
    <row r="294" spans="1:10" ht="30" customHeight="1">
      <c r="A294" s="62"/>
      <c r="B294" s="106" t="s">
        <v>165</v>
      </c>
      <c r="C294" s="60">
        <v>38588</v>
      </c>
      <c r="D294" s="56">
        <f t="shared" si="25"/>
        <v>0</v>
      </c>
      <c r="E294" s="56"/>
      <c r="F294" s="56">
        <v>20000</v>
      </c>
      <c r="G294" s="56"/>
      <c r="H294" s="54">
        <f>'4.pielikums'!B276</f>
        <v>58588</v>
      </c>
      <c r="I294" s="77"/>
      <c r="J294" s="77"/>
    </row>
    <row r="295" spans="1:10" ht="45" customHeight="1">
      <c r="A295" s="62"/>
      <c r="B295" s="75" t="s">
        <v>776</v>
      </c>
      <c r="C295" s="60">
        <v>19846</v>
      </c>
      <c r="D295" s="56">
        <f t="shared" si="25"/>
        <v>0</v>
      </c>
      <c r="E295" s="56"/>
      <c r="F295" s="56">
        <v>6386</v>
      </c>
      <c r="G295" s="56"/>
      <c r="H295" s="54">
        <f>'4.pielikums'!B277</f>
        <v>26232</v>
      </c>
      <c r="I295" s="77"/>
      <c r="J295" s="77"/>
    </row>
    <row r="296" spans="1:10" ht="45" customHeight="1">
      <c r="A296" s="62"/>
      <c r="B296" s="75" t="s">
        <v>261</v>
      </c>
      <c r="C296" s="60">
        <v>901</v>
      </c>
      <c r="D296" s="56">
        <f t="shared" si="25"/>
        <v>0</v>
      </c>
      <c r="E296" s="56"/>
      <c r="F296" s="56">
        <v>8000</v>
      </c>
      <c r="G296" s="56"/>
      <c r="H296" s="54">
        <f>'4.pielikums'!B278</f>
        <v>8901</v>
      </c>
      <c r="I296" s="77"/>
      <c r="J296" s="77"/>
    </row>
    <row r="297" spans="1:10" ht="63.75" customHeight="1">
      <c r="A297" s="62"/>
      <c r="B297" s="75" t="s">
        <v>773</v>
      </c>
      <c r="C297" s="60">
        <v>2555</v>
      </c>
      <c r="D297" s="56">
        <f t="shared" si="25"/>
        <v>0</v>
      </c>
      <c r="E297" s="56"/>
      <c r="F297" s="56">
        <v>1000</v>
      </c>
      <c r="G297" s="56"/>
      <c r="H297" s="54">
        <f>'4.pielikums'!B279</f>
        <v>3555</v>
      </c>
      <c r="I297" s="77"/>
      <c r="J297" s="77"/>
    </row>
    <row r="298" spans="1:10" ht="20.25" customHeight="1">
      <c r="A298" s="62"/>
      <c r="B298" s="73" t="s">
        <v>254</v>
      </c>
      <c r="C298" s="60"/>
      <c r="D298" s="56">
        <f t="shared" si="25"/>
        <v>37317</v>
      </c>
      <c r="E298" s="56"/>
      <c r="F298" s="56"/>
      <c r="G298" s="56"/>
      <c r="H298" s="54">
        <f>'4.pielikums'!B280</f>
        <v>37317</v>
      </c>
      <c r="I298" s="77"/>
      <c r="J298" s="77"/>
    </row>
    <row r="299" spans="1:10" ht="37.5" customHeight="1">
      <c r="A299" s="62"/>
      <c r="B299" s="73" t="s">
        <v>252</v>
      </c>
      <c r="C299" s="60"/>
      <c r="D299" s="56">
        <f t="shared" si="25"/>
        <v>0</v>
      </c>
      <c r="E299" s="56"/>
      <c r="F299" s="56"/>
      <c r="G299" s="56">
        <f>85000+11710</f>
        <v>96710</v>
      </c>
      <c r="H299" s="54">
        <f>'4.pielikums'!B281</f>
        <v>96710</v>
      </c>
      <c r="I299" s="77"/>
      <c r="J299" s="77"/>
    </row>
    <row r="300" spans="1:10" ht="15" customHeight="1">
      <c r="A300" s="17" t="s">
        <v>327</v>
      </c>
      <c r="B300" s="85" t="s">
        <v>328</v>
      </c>
      <c r="C300" s="65">
        <f t="shared" si="30" ref="C300:H300">C301+C302</f>
        <v>115160</v>
      </c>
      <c r="D300" s="65">
        <f t="shared" si="30"/>
        <v>3257830</v>
      </c>
      <c r="E300" s="132">
        <f t="shared" si="30"/>
        <v>1781587</v>
      </c>
      <c r="F300" s="65">
        <f t="shared" si="30"/>
        <v>948493</v>
      </c>
      <c r="G300" s="65">
        <f t="shared" si="30"/>
        <v>0</v>
      </c>
      <c r="H300" s="54">
        <f t="shared" si="30"/>
        <v>6103070</v>
      </c>
      <c r="I300" s="77"/>
      <c r="J300" s="77"/>
    </row>
    <row r="301" spans="1:10" ht="15" customHeight="1">
      <c r="A301" s="17"/>
      <c r="B301" s="86" t="s">
        <v>54</v>
      </c>
      <c r="C301" s="66"/>
      <c r="D301" s="56">
        <f t="shared" si="25"/>
        <v>207845</v>
      </c>
      <c r="E301" s="95">
        <v>10000</v>
      </c>
      <c r="F301" s="56"/>
      <c r="G301" s="56"/>
      <c r="H301" s="54">
        <f>'4.pielikums'!B282</f>
        <v>217845</v>
      </c>
      <c r="I301" s="77"/>
      <c r="J301" s="77"/>
    </row>
    <row r="302" spans="1:10" ht="30" customHeight="1">
      <c r="A302" s="69"/>
      <c r="B302" s="112" t="s">
        <v>329</v>
      </c>
      <c r="C302" s="65">
        <f>SUM(C303:C320)</f>
        <v>115160</v>
      </c>
      <c r="D302" s="65">
        <f t="shared" si="31" ref="D302:G302">SUM(D303:D320)</f>
        <v>3049985</v>
      </c>
      <c r="E302" s="65">
        <f t="shared" si="31"/>
        <v>1771587</v>
      </c>
      <c r="F302" s="65">
        <f t="shared" si="31"/>
        <v>948493</v>
      </c>
      <c r="G302" s="65">
        <f t="shared" si="31"/>
        <v>0</v>
      </c>
      <c r="H302" s="54">
        <f>SUM(H303:H320)</f>
        <v>5885225</v>
      </c>
      <c r="I302" s="77"/>
      <c r="J302" s="77"/>
    </row>
    <row r="303" spans="1:10" ht="15" customHeight="1">
      <c r="A303" s="17"/>
      <c r="B303" s="86" t="s">
        <v>185</v>
      </c>
      <c r="C303" s="66"/>
      <c r="D303" s="56">
        <f t="shared" si="25"/>
        <v>620880</v>
      </c>
      <c r="E303" s="95">
        <v>2857</v>
      </c>
      <c r="F303" s="56"/>
      <c r="G303" s="56"/>
      <c r="H303" s="54">
        <f>'4.pielikums'!B283</f>
        <v>623737</v>
      </c>
      <c r="I303" s="77"/>
      <c r="J303" s="77"/>
    </row>
    <row r="304" spans="1:10" ht="15" customHeight="1">
      <c r="A304" s="17"/>
      <c r="B304" s="86" t="s">
        <v>239</v>
      </c>
      <c r="C304" s="66"/>
      <c r="D304" s="56">
        <f t="shared" si="25"/>
        <v>777591</v>
      </c>
      <c r="E304" s="95"/>
      <c r="F304" s="95">
        <v>306409</v>
      </c>
      <c r="G304" s="56"/>
      <c r="H304" s="54">
        <f>'4.pielikums'!B284</f>
        <v>1084000</v>
      </c>
      <c r="I304" s="77"/>
      <c r="J304" s="77"/>
    </row>
    <row r="305" spans="1:10" ht="15" customHeight="1">
      <c r="A305" s="17"/>
      <c r="B305" s="86" t="s">
        <v>181</v>
      </c>
      <c r="C305" s="66"/>
      <c r="D305" s="56">
        <f t="shared" si="32" ref="D305:D320">H305-E305-G305-F305-C305</f>
        <v>19690</v>
      </c>
      <c r="E305" s="95"/>
      <c r="F305" s="56"/>
      <c r="G305" s="56"/>
      <c r="H305" s="54">
        <f>'4.pielikums'!B285</f>
        <v>19690</v>
      </c>
      <c r="I305" s="77"/>
      <c r="J305" s="77"/>
    </row>
    <row r="306" spans="1:10" ht="15" customHeight="1">
      <c r="A306" s="17"/>
      <c r="B306" s="86" t="s">
        <v>55</v>
      </c>
      <c r="C306" s="66"/>
      <c r="D306" s="56">
        <f t="shared" si="32"/>
        <v>11537</v>
      </c>
      <c r="E306" s="95">
        <f>10600</f>
        <v>10600</v>
      </c>
      <c r="F306" s="56"/>
      <c r="G306" s="56"/>
      <c r="H306" s="54">
        <f>'4.pielikums'!B286</f>
        <v>22137</v>
      </c>
      <c r="I306" s="77"/>
      <c r="J306" s="77"/>
    </row>
    <row r="307" spans="1:10" ht="15" customHeight="1">
      <c r="A307" s="17"/>
      <c r="B307" s="86" t="s">
        <v>66</v>
      </c>
      <c r="C307" s="66"/>
      <c r="D307" s="56">
        <f t="shared" si="32"/>
        <v>268662</v>
      </c>
      <c r="E307" s="95">
        <v>1510</v>
      </c>
      <c r="F307" s="91"/>
      <c r="G307" s="56"/>
      <c r="H307" s="54">
        <f>'4.pielikums'!B287</f>
        <v>270172</v>
      </c>
      <c r="I307" s="77"/>
      <c r="J307" s="77"/>
    </row>
    <row r="308" spans="1:10" ht="15" customHeight="1">
      <c r="A308" s="58"/>
      <c r="B308" s="86" t="s">
        <v>53</v>
      </c>
      <c r="C308" s="66">
        <v>59367</v>
      </c>
      <c r="D308" s="56">
        <f t="shared" si="32"/>
        <v>593980</v>
      </c>
      <c r="E308" s="95">
        <v>1176617</v>
      </c>
      <c r="F308" s="56"/>
      <c r="G308" s="56"/>
      <c r="H308" s="54">
        <f>'4.pielikums'!B288</f>
        <v>1829964</v>
      </c>
      <c r="I308" s="77"/>
      <c r="J308" s="77"/>
    </row>
    <row r="309" spans="1:10" ht="15" customHeight="1">
      <c r="A309" s="58"/>
      <c r="B309" s="74" t="s">
        <v>129</v>
      </c>
      <c r="C309" s="61"/>
      <c r="D309" s="56">
        <f t="shared" si="32"/>
        <v>173795</v>
      </c>
      <c r="E309" s="56">
        <v>166314</v>
      </c>
      <c r="F309" s="56"/>
      <c r="G309" s="56"/>
      <c r="H309" s="54">
        <f>'4.pielikums'!B289</f>
        <v>340109</v>
      </c>
      <c r="I309" s="77"/>
      <c r="J309" s="77"/>
    </row>
    <row r="310" spans="1:10" ht="15" customHeight="1">
      <c r="A310" s="58"/>
      <c r="B310" s="116" t="s">
        <v>131</v>
      </c>
      <c r="C310" s="61"/>
      <c r="D310" s="56">
        <f t="shared" si="32"/>
        <v>61252</v>
      </c>
      <c r="E310" s="56">
        <v>157128</v>
      </c>
      <c r="F310" s="91"/>
      <c r="G310" s="56"/>
      <c r="H310" s="54">
        <f>'4.pielikums'!B290</f>
        <v>218380</v>
      </c>
      <c r="I310" s="77"/>
      <c r="J310" s="77"/>
    </row>
    <row r="311" spans="1:10" ht="15" customHeight="1">
      <c r="A311" s="58"/>
      <c r="B311" s="118" t="s">
        <v>130</v>
      </c>
      <c r="C311" s="61"/>
      <c r="D311" s="56">
        <f t="shared" si="32"/>
        <v>88680</v>
      </c>
      <c r="E311" s="56">
        <v>216583</v>
      </c>
      <c r="F311" s="56"/>
      <c r="G311" s="56"/>
      <c r="H311" s="54">
        <f>'4.pielikums'!B291</f>
        <v>305263</v>
      </c>
      <c r="I311" s="77"/>
      <c r="J311" s="77"/>
    </row>
    <row r="312" spans="1:10" ht="30" customHeight="1">
      <c r="A312" s="58"/>
      <c r="B312" s="73" t="s">
        <v>84</v>
      </c>
      <c r="C312" s="61"/>
      <c r="D312" s="56">
        <f t="shared" si="32"/>
        <v>234761</v>
      </c>
      <c r="E312" s="56">
        <v>22666</v>
      </c>
      <c r="F312" s="91"/>
      <c r="G312" s="56"/>
      <c r="H312" s="54">
        <f>'4.pielikums'!B292</f>
        <v>257427</v>
      </c>
      <c r="I312" s="77"/>
      <c r="J312" s="77"/>
    </row>
    <row r="313" spans="1:10" ht="30" customHeight="1">
      <c r="A313" s="58"/>
      <c r="B313" s="75" t="s">
        <v>186</v>
      </c>
      <c r="C313" s="61"/>
      <c r="D313" s="56">
        <f t="shared" si="32"/>
        <v>73881</v>
      </c>
      <c r="E313" s="56"/>
      <c r="F313" s="91"/>
      <c r="G313" s="56"/>
      <c r="H313" s="54">
        <f>'4.pielikums'!B293</f>
        <v>73881</v>
      </c>
      <c r="I313" s="77"/>
      <c r="J313" s="77"/>
    </row>
    <row r="314" spans="1:10" ht="30" customHeight="1">
      <c r="A314" s="58"/>
      <c r="B314" s="106" t="s">
        <v>187</v>
      </c>
      <c r="C314" s="61"/>
      <c r="D314" s="56">
        <f t="shared" si="32"/>
        <v>118584</v>
      </c>
      <c r="E314" s="56">
        <v>16345</v>
      </c>
      <c r="F314" s="91"/>
      <c r="G314" s="56"/>
      <c r="H314" s="54">
        <f>'4.pielikums'!B294</f>
        <v>134929</v>
      </c>
      <c r="I314" s="77"/>
      <c r="J314" s="77"/>
    </row>
    <row r="315" spans="1:10" ht="30" customHeight="1">
      <c r="A315" s="58"/>
      <c r="B315" s="75" t="s">
        <v>172</v>
      </c>
      <c r="C315" s="61"/>
      <c r="D315" s="56">
        <f t="shared" si="32"/>
        <v>4601</v>
      </c>
      <c r="E315" s="56">
        <f>600</f>
        <v>600</v>
      </c>
      <c r="F315" s="56"/>
      <c r="G315" s="56"/>
      <c r="H315" s="54">
        <f>'4.pielikums'!B295</f>
        <v>5201</v>
      </c>
      <c r="I315" s="77"/>
      <c r="J315" s="77"/>
    </row>
    <row r="316" spans="1:10" ht="30" customHeight="1">
      <c r="A316" s="58"/>
      <c r="B316" s="75" t="s">
        <v>692</v>
      </c>
      <c r="C316" s="61"/>
      <c r="D316" s="56">
        <f t="shared" si="32"/>
        <v>133</v>
      </c>
      <c r="E316" s="56">
        <v>367</v>
      </c>
      <c r="F316" s="56"/>
      <c r="G316" s="56"/>
      <c r="H316" s="54">
        <f>'4.pielikums'!B296</f>
        <v>500</v>
      </c>
      <c r="I316" s="77"/>
      <c r="J316" s="77"/>
    </row>
    <row r="317" spans="1:10" ht="30" customHeight="1">
      <c r="A317" s="58"/>
      <c r="B317" s="73" t="s">
        <v>331</v>
      </c>
      <c r="C317" s="61"/>
      <c r="D317" s="56">
        <f t="shared" si="32"/>
        <v>0</v>
      </c>
      <c r="E317" s="56"/>
      <c r="F317" s="56">
        <v>632852</v>
      </c>
      <c r="G317" s="56"/>
      <c r="H317" s="54">
        <f>'4.pielikums'!B297</f>
        <v>632852</v>
      </c>
      <c r="I317" s="77"/>
      <c r="J317" s="77"/>
    </row>
    <row r="318" spans="1:10" ht="30" customHeight="1">
      <c r="A318" s="58"/>
      <c r="B318" s="73" t="s">
        <v>62</v>
      </c>
      <c r="C318" s="61">
        <v>42383</v>
      </c>
      <c r="D318" s="56">
        <f t="shared" si="32"/>
        <v>0</v>
      </c>
      <c r="E318" s="56"/>
      <c r="F318" s="56">
        <v>0</v>
      </c>
      <c r="G318" s="56"/>
      <c r="H318" s="54">
        <f>'4.pielikums'!B298</f>
        <v>42383</v>
      </c>
      <c r="I318" s="77"/>
      <c r="J318" s="77"/>
    </row>
    <row r="319" spans="1:10" ht="30" customHeight="1">
      <c r="A319" s="58"/>
      <c r="B319" s="74" t="s">
        <v>61</v>
      </c>
      <c r="C319" s="61">
        <v>13410</v>
      </c>
      <c r="D319" s="56">
        <f t="shared" si="32"/>
        <v>458</v>
      </c>
      <c r="E319" s="56"/>
      <c r="F319" s="56">
        <v>9232</v>
      </c>
      <c r="G319" s="56"/>
      <c r="H319" s="54">
        <f>'4.pielikums'!B299</f>
        <v>23100</v>
      </c>
      <c r="I319" s="77"/>
      <c r="J319" s="77"/>
    </row>
    <row r="320" spans="1:10" ht="30" customHeight="1">
      <c r="A320" s="58"/>
      <c r="B320" s="108" t="s">
        <v>330</v>
      </c>
      <c r="C320" s="61"/>
      <c r="D320" s="56">
        <f t="shared" si="32"/>
        <v>1500</v>
      </c>
      <c r="E320" s="56"/>
      <c r="F320" s="56"/>
      <c r="G320" s="56"/>
      <c r="H320" s="54">
        <f>'4.pielikums'!B300+'4.pielikums'!B301+'4.pielikums'!B302+'4.pielikums'!B303</f>
        <v>1500</v>
      </c>
      <c r="I320" s="77"/>
      <c r="J320" s="77"/>
    </row>
    <row r="321" spans="2:3" ht="15.75">
      <c r="B321" s="78"/>
      <c r="C321" s="20"/>
    </row>
    <row r="322" spans="2:3" ht="18.75">
      <c r="B322" s="79" t="s">
        <v>846</v>
      </c>
      <c r="C322" s="20"/>
    </row>
    <row r="323" spans="2:3" ht="15.75">
      <c r="B323" s="59"/>
      <c r="C323" s="20"/>
    </row>
  </sheetData>
  <mergeCells count="3">
    <mergeCell ref="H15:H16"/>
    <mergeCell ref="B15:B16"/>
    <mergeCell ref="A15:A16"/>
  </mergeCells>
  <pageMargins left="0.25" right="0.25" top="0.75" bottom="0.75" header="0.3" footer="0.3"/>
  <pageSetup orientation="portrait" paperSize="9" scale="5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29"/>
  <sheetViews>
    <sheetView tabSelected="1" zoomScale="95" zoomScaleNormal="95" workbookViewId="0" topLeftCell="A313">
      <selection pane="topLeft" activeCell="O5" sqref="O5"/>
    </sheetView>
  </sheetViews>
  <sheetFormatPr defaultColWidth="9.14428571428571" defaultRowHeight="15"/>
  <cols>
    <col min="1" max="1" width="40.5714285714286" style="59" customWidth="1"/>
    <col min="2" max="2" width="13.4285714285714" style="123" customWidth="1"/>
    <col min="3" max="3" width="14.4285714285714" style="59" customWidth="1"/>
    <col min="4" max="4" width="14.1428571428571" style="59" hidden="1" customWidth="1"/>
    <col min="5" max="5" width="14.5714285714286" style="59" hidden="1" customWidth="1"/>
    <col min="6" max="6" width="16.1428571428571" style="123" customWidth="1"/>
    <col min="7" max="7" width="9.85714285714286" style="123" customWidth="1"/>
    <col min="8" max="8" width="12.5714285714286" style="123" customWidth="1"/>
    <col min="9" max="9" width="12" style="123" customWidth="1"/>
    <col min="10" max="10" width="0.285714285714286" style="123" hidden="1" customWidth="1"/>
    <col min="11" max="11" width="13.7142857142857" style="123" customWidth="1"/>
    <col min="12" max="12" width="11.1428571428571" style="123" customWidth="1"/>
    <col min="13" max="13" width="13.5714285714286" style="123" customWidth="1"/>
    <col min="14" max="14" width="14.2857142857143" style="123" customWidth="1"/>
    <col min="15" max="15" width="14" style="123" customWidth="1"/>
    <col min="16" max="16" width="12.1428571428571" style="123" customWidth="1"/>
    <col min="17" max="17" width="11.2857142857143" style="59" bestFit="1" customWidth="1"/>
    <col min="18" max="18" width="10.1428571428571" style="59" bestFit="1" customWidth="1"/>
    <col min="19" max="16384" width="9.14285714285714" style="59"/>
  </cols>
  <sheetData>
    <row r="1" spans="1:16" ht="15" customHeight="1">
      <c r="A1" s="231"/>
      <c r="B1" s="232"/>
      <c r="C1" s="232"/>
      <c r="D1" s="232"/>
      <c r="E1" s="232"/>
      <c r="G1" s="169"/>
      <c r="H1" s="169"/>
      <c r="I1" s="169"/>
      <c r="J1" s="169"/>
      <c r="K1" s="169"/>
      <c r="L1" s="169"/>
      <c r="M1" s="169"/>
      <c r="N1" s="169"/>
      <c r="O1" s="169"/>
      <c r="P1" s="174" t="s">
        <v>174</v>
      </c>
    </row>
    <row r="2" spans="1:16" ht="15" customHeight="1">
      <c r="A2" s="231"/>
      <c r="B2" s="232"/>
      <c r="C2" s="232"/>
      <c r="D2" s="232"/>
      <c r="E2" s="232"/>
      <c r="G2" s="169"/>
      <c r="H2" s="169"/>
      <c r="I2" s="169"/>
      <c r="J2" s="169"/>
      <c r="K2" s="169"/>
      <c r="L2" s="169"/>
      <c r="M2" s="169"/>
      <c r="N2" s="169"/>
      <c r="O2" s="169"/>
      <c r="P2" s="169" t="s">
        <v>832</v>
      </c>
    </row>
    <row r="3" spans="1:16" ht="15" customHeight="1">
      <c r="A3" s="231"/>
      <c r="B3" s="232"/>
      <c r="C3" s="232"/>
      <c r="D3" s="232"/>
      <c r="E3" s="232"/>
      <c r="G3" s="169"/>
      <c r="H3" s="169"/>
      <c r="I3" s="169"/>
      <c r="J3" s="169"/>
      <c r="K3" s="169"/>
      <c r="L3" s="169"/>
      <c r="M3" s="169"/>
      <c r="N3" s="169"/>
      <c r="O3" s="169"/>
      <c r="P3" s="169" t="s">
        <v>849</v>
      </c>
    </row>
    <row r="4" spans="1:16" ht="15" customHeight="1">
      <c r="A4" s="231"/>
      <c r="B4" s="232"/>
      <c r="C4" s="232"/>
      <c r="D4" s="232"/>
      <c r="E4" s="232"/>
      <c r="G4" s="169"/>
      <c r="H4" s="169"/>
      <c r="I4" s="169"/>
      <c r="J4" s="169"/>
      <c r="K4" s="169"/>
      <c r="L4" s="169"/>
      <c r="M4" s="169"/>
      <c r="N4" s="169"/>
      <c r="O4" s="169"/>
      <c r="P4" s="169" t="s">
        <v>838</v>
      </c>
    </row>
    <row r="5" spans="1:16" ht="15" customHeight="1">
      <c r="A5" s="231"/>
      <c r="B5" s="232"/>
      <c r="C5" s="232"/>
      <c r="D5" s="232"/>
      <c r="E5" s="232"/>
      <c r="G5" s="169"/>
      <c r="H5" s="169"/>
      <c r="I5" s="169"/>
      <c r="J5" s="169"/>
      <c r="K5" s="169"/>
      <c r="L5" s="169"/>
      <c r="M5" s="175"/>
      <c r="N5" s="169"/>
      <c r="O5" s="169"/>
      <c r="P5" s="169" t="s">
        <v>766</v>
      </c>
    </row>
    <row r="6" spans="1:16" ht="15" customHeight="1">
      <c r="A6" s="231"/>
      <c r="B6" s="232"/>
      <c r="C6" s="232"/>
      <c r="D6" s="232"/>
      <c r="E6" s="232"/>
      <c r="G6" s="169"/>
      <c r="H6" s="169"/>
      <c r="I6" s="169"/>
      <c r="J6" s="169"/>
      <c r="K6" s="169"/>
      <c r="L6" s="169"/>
      <c r="M6" s="175"/>
      <c r="N6" s="169"/>
      <c r="O6" s="169"/>
      <c r="P6" s="169"/>
    </row>
    <row r="7" spans="1:16" ht="15" customHeight="1">
      <c r="A7" s="231"/>
      <c r="B7" s="232"/>
      <c r="C7" s="232"/>
      <c r="D7" s="232"/>
      <c r="E7" s="232"/>
      <c r="G7" s="169"/>
      <c r="H7" s="169"/>
      <c r="I7" s="169"/>
      <c r="J7" s="169"/>
      <c r="K7" s="169"/>
      <c r="L7" s="169"/>
      <c r="M7" s="175"/>
      <c r="N7" s="169"/>
      <c r="O7" s="169"/>
      <c r="P7" s="174" t="s">
        <v>174</v>
      </c>
    </row>
    <row r="8" spans="1:16" ht="15" customHeight="1">
      <c r="A8" s="231"/>
      <c r="B8" s="232"/>
      <c r="C8" s="232"/>
      <c r="D8" s="232"/>
      <c r="E8" s="232"/>
      <c r="G8" s="169"/>
      <c r="H8" s="169"/>
      <c r="I8" s="169"/>
      <c r="J8" s="169"/>
      <c r="K8" s="169"/>
      <c r="L8" s="169"/>
      <c r="M8" s="175"/>
      <c r="N8" s="169"/>
      <c r="O8" s="169"/>
      <c r="P8" s="169" t="s">
        <v>832</v>
      </c>
    </row>
    <row r="9" spans="1:16" ht="15" customHeight="1">
      <c r="A9" s="231"/>
      <c r="B9" s="232"/>
      <c r="C9" s="232"/>
      <c r="D9" s="232"/>
      <c r="E9" s="232"/>
      <c r="G9" s="169"/>
      <c r="H9" s="169"/>
      <c r="I9" s="169"/>
      <c r="J9" s="169"/>
      <c r="K9" s="169"/>
      <c r="L9" s="169"/>
      <c r="M9" s="175"/>
      <c r="N9" s="169"/>
      <c r="O9" s="169"/>
      <c r="P9" s="169" t="s">
        <v>833</v>
      </c>
    </row>
    <row r="10" spans="1:16" ht="15" customHeight="1">
      <c r="A10" s="231"/>
      <c r="B10" s="232"/>
      <c r="C10" s="232"/>
      <c r="D10" s="232"/>
      <c r="E10" s="232"/>
      <c r="G10" s="169"/>
      <c r="H10" s="169"/>
      <c r="I10" s="169"/>
      <c r="J10" s="169"/>
      <c r="K10" s="169"/>
      <c r="L10" s="169"/>
      <c r="M10" s="175"/>
      <c r="N10" s="169"/>
      <c r="O10" s="169"/>
      <c r="P10" s="169" t="s">
        <v>766</v>
      </c>
    </row>
    <row r="11" spans="1:16" ht="15" customHeight="1">
      <c r="A11" s="231"/>
      <c r="B11" s="232"/>
      <c r="C11" s="232"/>
      <c r="D11" s="232"/>
      <c r="E11" s="232"/>
      <c r="G11" s="169"/>
      <c r="H11" s="169"/>
      <c r="I11" s="169"/>
      <c r="J11" s="169"/>
      <c r="K11" s="169"/>
      <c r="L11" s="169"/>
      <c r="M11" s="175"/>
      <c r="N11" s="169"/>
      <c r="O11" s="169"/>
      <c r="P11" s="169"/>
    </row>
    <row r="12" spans="1:16" ht="15" customHeight="1">
      <c r="A12" s="231"/>
      <c r="B12" s="232"/>
      <c r="C12" s="232"/>
      <c r="D12" s="232"/>
      <c r="E12" s="232"/>
      <c r="G12" s="175"/>
      <c r="H12" s="175"/>
      <c r="I12" s="175"/>
      <c r="J12" s="175"/>
      <c r="K12" s="175"/>
      <c r="L12" s="175"/>
      <c r="M12" s="175"/>
      <c r="N12" s="175"/>
      <c r="O12" s="175"/>
      <c r="P12" s="175"/>
    </row>
    <row r="13" spans="1:16" ht="15" customHeight="1">
      <c r="A13" s="229" t="s">
        <v>767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</row>
    <row r="14" ht="15" customHeight="1"/>
    <row r="15" spans="1:16" s="78" customFormat="1" ht="15" customHeight="1">
      <c r="A15" s="13" t="s">
        <v>0</v>
      </c>
      <c r="B15" s="10" t="s">
        <v>768</v>
      </c>
      <c r="C15" s="230" t="s">
        <v>92</v>
      </c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</row>
    <row r="16" spans="1:16" s="78" customFormat="1" ht="15" customHeight="1">
      <c r="A16" s="13"/>
      <c r="B16" s="10"/>
      <c r="C16" s="81">
        <v>1000</v>
      </c>
      <c r="D16" s="81">
        <v>1100</v>
      </c>
      <c r="E16" s="81">
        <v>1200</v>
      </c>
      <c r="F16" s="176">
        <v>2000</v>
      </c>
      <c r="G16" s="176">
        <v>2100</v>
      </c>
      <c r="H16" s="176">
        <v>2200</v>
      </c>
      <c r="I16" s="176">
        <v>2300</v>
      </c>
      <c r="J16" s="176">
        <v>2400</v>
      </c>
      <c r="K16" s="176">
        <v>2500</v>
      </c>
      <c r="L16" s="176">
        <v>3000</v>
      </c>
      <c r="M16" s="176">
        <v>4000</v>
      </c>
      <c r="N16" s="176">
        <v>5000</v>
      </c>
      <c r="O16" s="177">
        <v>6000</v>
      </c>
      <c r="P16" s="177">
        <v>7000</v>
      </c>
    </row>
    <row r="17" spans="1:16" s="78" customFormat="1" ht="105" customHeight="1">
      <c r="A17" s="13"/>
      <c r="B17" s="10"/>
      <c r="C17" s="93" t="s">
        <v>87</v>
      </c>
      <c r="D17" s="93" t="s">
        <v>740</v>
      </c>
      <c r="E17" s="93" t="s">
        <v>741</v>
      </c>
      <c r="F17" s="177" t="s">
        <v>88</v>
      </c>
      <c r="G17" s="177" t="s">
        <v>243</v>
      </c>
      <c r="H17" s="177" t="s">
        <v>244</v>
      </c>
      <c r="I17" s="177" t="s">
        <v>245</v>
      </c>
      <c r="J17" s="177" t="s">
        <v>738</v>
      </c>
      <c r="K17" s="177" t="s">
        <v>246</v>
      </c>
      <c r="L17" s="177" t="s">
        <v>89</v>
      </c>
      <c r="M17" s="177" t="s">
        <v>90</v>
      </c>
      <c r="N17" s="177" t="s">
        <v>91</v>
      </c>
      <c r="O17" s="177" t="s">
        <v>85</v>
      </c>
      <c r="P17" s="177" t="s">
        <v>86</v>
      </c>
    </row>
    <row r="18" spans="1:16" ht="15" customHeight="1">
      <c r="A18" s="134" t="s">
        <v>1</v>
      </c>
      <c r="B18" s="135">
        <f t="shared" si="0" ref="B18:B44">SUM(C18+F18,L18:P18)</f>
        <v>1522773</v>
      </c>
      <c r="C18" s="136">
        <f t="shared" si="1" ref="C18:C23">D18+E18</f>
        <v>1287651</v>
      </c>
      <c r="D18" s="136">
        <v>1040812</v>
      </c>
      <c r="E18" s="136">
        <v>246839</v>
      </c>
      <c r="F18" s="140">
        <f>SUM(G18:K18)</f>
        <v>234122</v>
      </c>
      <c r="G18" s="140">
        <v>2480</v>
      </c>
      <c r="H18" s="140">
        <f>177541+23631</f>
        <v>201172</v>
      </c>
      <c r="I18" s="140">
        <v>28470</v>
      </c>
      <c r="J18" s="140"/>
      <c r="K18" s="140">
        <v>2000</v>
      </c>
      <c r="L18" s="140"/>
      <c r="M18" s="140"/>
      <c r="N18" s="140">
        <v>1000</v>
      </c>
      <c r="O18" s="140"/>
      <c r="P18" s="140"/>
    </row>
    <row r="19" spans="1:16" ht="15" customHeight="1">
      <c r="A19" s="134" t="s">
        <v>2</v>
      </c>
      <c r="B19" s="135">
        <f t="shared" si="0"/>
        <v>127701</v>
      </c>
      <c r="C19" s="136">
        <f t="shared" si="1"/>
        <v>127701</v>
      </c>
      <c r="D19" s="136">
        <v>103555</v>
      </c>
      <c r="E19" s="136">
        <v>24146</v>
      </c>
      <c r="F19" s="140">
        <f t="shared" si="2" ref="F19:F23">SUM(G19:K19)</f>
        <v>0</v>
      </c>
      <c r="G19" s="140"/>
      <c r="H19" s="140"/>
      <c r="I19" s="140"/>
      <c r="J19" s="140"/>
      <c r="K19" s="140"/>
      <c r="L19" s="140"/>
      <c r="M19" s="140"/>
      <c r="N19" s="140"/>
      <c r="O19" s="140"/>
      <c r="P19" s="140"/>
    </row>
    <row r="20" spans="1:16" ht="30" customHeight="1">
      <c r="A20" s="134" t="s">
        <v>180</v>
      </c>
      <c r="B20" s="135">
        <f t="shared" si="0"/>
        <v>255015</v>
      </c>
      <c r="C20" s="136">
        <f t="shared" si="1"/>
        <v>0</v>
      </c>
      <c r="D20" s="136"/>
      <c r="E20" s="136"/>
      <c r="F20" s="140">
        <f t="shared" si="2"/>
        <v>0</v>
      </c>
      <c r="G20" s="140"/>
      <c r="H20" s="140"/>
      <c r="I20" s="140"/>
      <c r="J20" s="140"/>
      <c r="K20" s="140"/>
      <c r="L20" s="140"/>
      <c r="M20" s="140"/>
      <c r="N20" s="140"/>
      <c r="O20" s="140">
        <v>255015</v>
      </c>
      <c r="P20" s="140"/>
    </row>
    <row r="21" spans="1:16" ht="15" customHeight="1">
      <c r="A21" s="134" t="s">
        <v>212</v>
      </c>
      <c r="B21" s="135">
        <f t="shared" si="0"/>
        <v>30000</v>
      </c>
      <c r="C21" s="136">
        <f t="shared" si="1"/>
        <v>30000</v>
      </c>
      <c r="D21" s="136">
        <v>24274</v>
      </c>
      <c r="E21" s="136">
        <v>5726</v>
      </c>
      <c r="F21" s="140">
        <f t="shared" si="2"/>
        <v>0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</row>
    <row r="22" spans="1:16" ht="15" customHeight="1">
      <c r="A22" s="134" t="s">
        <v>818</v>
      </c>
      <c r="B22" s="135">
        <f t="shared" si="0"/>
        <v>4729</v>
      </c>
      <c r="C22" s="136">
        <f t="shared" si="1"/>
        <v>4636</v>
      </c>
      <c r="D22" s="136">
        <v>3741</v>
      </c>
      <c r="E22" s="136">
        <v>895</v>
      </c>
      <c r="F22" s="140">
        <f t="shared" si="2"/>
        <v>93</v>
      </c>
      <c r="G22" s="140"/>
      <c r="H22" s="140"/>
      <c r="I22" s="140">
        <v>93</v>
      </c>
      <c r="J22" s="140"/>
      <c r="K22" s="140"/>
      <c r="L22" s="140"/>
      <c r="M22" s="140"/>
      <c r="N22" s="140"/>
      <c r="O22" s="140"/>
      <c r="P22" s="140"/>
    </row>
    <row r="23" spans="1:16" ht="15" customHeight="1">
      <c r="A23" s="137" t="s">
        <v>205</v>
      </c>
      <c r="B23" s="135">
        <f t="shared" si="0"/>
        <v>46653</v>
      </c>
      <c r="C23" s="136">
        <f t="shared" si="1"/>
        <v>40785</v>
      </c>
      <c r="D23" s="136">
        <v>33000</v>
      </c>
      <c r="E23" s="136">
        <v>7785</v>
      </c>
      <c r="F23" s="140">
        <f t="shared" si="2"/>
        <v>5868</v>
      </c>
      <c r="G23" s="140">
        <v>20</v>
      </c>
      <c r="H23" s="140">
        <v>2345</v>
      </c>
      <c r="I23" s="140">
        <v>3503</v>
      </c>
      <c r="J23" s="140"/>
      <c r="K23" s="140"/>
      <c r="L23" s="140"/>
      <c r="M23" s="140"/>
      <c r="N23" s="140"/>
      <c r="O23" s="140"/>
      <c r="P23" s="140"/>
    </row>
    <row r="24" spans="1:16" ht="15" customHeight="1">
      <c r="A24" s="138" t="s">
        <v>3</v>
      </c>
      <c r="B24" s="135">
        <f t="shared" si="0"/>
        <v>38050</v>
      </c>
      <c r="C24" s="136">
        <f t="shared" si="3" ref="C24:C29">D24+E24</f>
        <v>34292</v>
      </c>
      <c r="D24" s="136">
        <v>27606</v>
      </c>
      <c r="E24" s="136">
        <v>6686</v>
      </c>
      <c r="F24" s="140">
        <f t="shared" si="4" ref="F24:F51">SUM(G24:K24)</f>
        <v>3758</v>
      </c>
      <c r="G24" s="140"/>
      <c r="H24" s="140">
        <v>1651</v>
      </c>
      <c r="I24" s="140">
        <v>2006</v>
      </c>
      <c r="J24" s="140"/>
      <c r="K24" s="140">
        <v>101</v>
      </c>
      <c r="L24" s="140"/>
      <c r="M24" s="140"/>
      <c r="N24" s="140"/>
      <c r="O24" s="140"/>
      <c r="P24" s="140"/>
    </row>
    <row r="25" spans="1:16" ht="15" customHeight="1">
      <c r="A25" s="138" t="s">
        <v>95</v>
      </c>
      <c r="B25" s="135">
        <f t="shared" si="0"/>
        <v>60118</v>
      </c>
      <c r="C25" s="136">
        <f t="shared" si="3"/>
        <v>43440</v>
      </c>
      <c r="D25" s="136">
        <v>35125</v>
      </c>
      <c r="E25" s="136">
        <v>8315</v>
      </c>
      <c r="F25" s="140">
        <f t="shared" si="4"/>
        <v>16678</v>
      </c>
      <c r="G25" s="140"/>
      <c r="H25" s="140">
        <v>7695</v>
      </c>
      <c r="I25" s="140">
        <v>8983</v>
      </c>
      <c r="J25" s="140"/>
      <c r="K25" s="140"/>
      <c r="L25" s="140"/>
      <c r="M25" s="140"/>
      <c r="N25" s="140"/>
      <c r="O25" s="140"/>
      <c r="P25" s="140"/>
    </row>
    <row r="26" spans="1:16" ht="15" customHeight="1">
      <c r="A26" s="138" t="s">
        <v>4</v>
      </c>
      <c r="B26" s="135">
        <f t="shared" si="0"/>
        <v>26739</v>
      </c>
      <c r="C26" s="136">
        <f t="shared" si="3"/>
        <v>22563</v>
      </c>
      <c r="D26" s="136">
        <v>18120</v>
      </c>
      <c r="E26" s="136">
        <v>4443</v>
      </c>
      <c r="F26" s="140">
        <f t="shared" si="4"/>
        <v>4176</v>
      </c>
      <c r="G26" s="140"/>
      <c r="H26" s="140">
        <v>2836</v>
      </c>
      <c r="I26" s="140">
        <v>1340</v>
      </c>
      <c r="J26" s="140"/>
      <c r="K26" s="140"/>
      <c r="L26" s="140"/>
      <c r="M26" s="140"/>
      <c r="N26" s="140"/>
      <c r="O26" s="140"/>
      <c r="P26" s="140"/>
    </row>
    <row r="27" spans="1:16" ht="15" customHeight="1">
      <c r="A27" s="138" t="s">
        <v>5</v>
      </c>
      <c r="B27" s="139">
        <f t="shared" si="0"/>
        <v>40853</v>
      </c>
      <c r="C27" s="136">
        <f t="shared" si="3"/>
        <v>33894</v>
      </c>
      <c r="D27" s="136">
        <v>27201</v>
      </c>
      <c r="E27" s="136">
        <v>6693</v>
      </c>
      <c r="F27" s="140">
        <f t="shared" si="4"/>
        <v>6959</v>
      </c>
      <c r="G27" s="140"/>
      <c r="H27" s="140">
        <v>3483</v>
      </c>
      <c r="I27" s="140">
        <v>3160</v>
      </c>
      <c r="J27" s="140"/>
      <c r="K27" s="140">
        <v>316</v>
      </c>
      <c r="L27" s="140"/>
      <c r="M27" s="140"/>
      <c r="N27" s="140"/>
      <c r="O27" s="140"/>
      <c r="P27" s="140"/>
    </row>
    <row r="28" spans="1:16" ht="15" customHeight="1">
      <c r="A28" s="138" t="s">
        <v>6</v>
      </c>
      <c r="B28" s="135">
        <f t="shared" si="0"/>
        <v>24622</v>
      </c>
      <c r="C28" s="136">
        <f t="shared" si="3"/>
        <v>18878</v>
      </c>
      <c r="D28" s="136">
        <v>15228</v>
      </c>
      <c r="E28" s="136">
        <v>3650</v>
      </c>
      <c r="F28" s="140">
        <f t="shared" si="4"/>
        <v>5744</v>
      </c>
      <c r="G28" s="140"/>
      <c r="H28" s="140">
        <v>2274</v>
      </c>
      <c r="I28" s="140">
        <v>3470</v>
      </c>
      <c r="J28" s="140"/>
      <c r="K28" s="140"/>
      <c r="L28" s="140"/>
      <c r="M28" s="140"/>
      <c r="N28" s="140"/>
      <c r="O28" s="140"/>
      <c r="P28" s="140"/>
    </row>
    <row r="29" spans="1:16" ht="15" customHeight="1">
      <c r="A29" s="138" t="s">
        <v>7</v>
      </c>
      <c r="B29" s="135">
        <f t="shared" si="0"/>
        <v>32348</v>
      </c>
      <c r="C29" s="136">
        <f t="shared" si="3"/>
        <v>27797</v>
      </c>
      <c r="D29" s="136">
        <v>22258</v>
      </c>
      <c r="E29" s="136">
        <v>5539</v>
      </c>
      <c r="F29" s="140">
        <f t="shared" si="4"/>
        <v>4551</v>
      </c>
      <c r="G29" s="140">
        <v>40</v>
      </c>
      <c r="H29" s="140">
        <v>2801</v>
      </c>
      <c r="I29" s="140">
        <v>1500</v>
      </c>
      <c r="J29" s="140"/>
      <c r="K29" s="140">
        <v>210</v>
      </c>
      <c r="L29" s="140"/>
      <c r="M29" s="140"/>
      <c r="N29" s="140"/>
      <c r="O29" s="140"/>
      <c r="P29" s="140"/>
    </row>
    <row r="30" spans="1:16" ht="15" customHeight="1">
      <c r="A30" s="138" t="s">
        <v>8</v>
      </c>
      <c r="B30" s="135">
        <f t="shared" si="0"/>
        <v>40674</v>
      </c>
      <c r="C30" s="136">
        <f>D30+E30</f>
        <v>31818</v>
      </c>
      <c r="D30" s="136">
        <v>25517</v>
      </c>
      <c r="E30" s="136">
        <v>6301</v>
      </c>
      <c r="F30" s="140">
        <f t="shared" si="4"/>
        <v>8856</v>
      </c>
      <c r="G30" s="140"/>
      <c r="H30" s="140">
        <v>4857</v>
      </c>
      <c r="I30" s="140">
        <v>3855</v>
      </c>
      <c r="J30" s="140"/>
      <c r="K30" s="140">
        <v>144</v>
      </c>
      <c r="L30" s="140"/>
      <c r="M30" s="140"/>
      <c r="N30" s="140"/>
      <c r="O30" s="140"/>
      <c r="P30" s="140"/>
    </row>
    <row r="31" spans="1:16" ht="15" customHeight="1">
      <c r="A31" s="138" t="s">
        <v>96</v>
      </c>
      <c r="B31" s="135">
        <f t="shared" si="0"/>
        <v>44556</v>
      </c>
      <c r="C31" s="136">
        <f>D31+E31</f>
        <v>27612</v>
      </c>
      <c r="D31" s="136">
        <v>22311</v>
      </c>
      <c r="E31" s="136">
        <v>5301</v>
      </c>
      <c r="F31" s="140">
        <f t="shared" si="4"/>
        <v>16944</v>
      </c>
      <c r="G31" s="140"/>
      <c r="H31" s="140">
        <f>1300+12000</f>
        <v>13300</v>
      </c>
      <c r="I31" s="140">
        <f>3644</f>
        <v>3644</v>
      </c>
      <c r="J31" s="140"/>
      <c r="K31" s="140"/>
      <c r="L31" s="140"/>
      <c r="M31" s="140"/>
      <c r="N31" s="140"/>
      <c r="O31" s="140"/>
      <c r="P31" s="140"/>
    </row>
    <row r="32" spans="1:16" ht="15" customHeight="1">
      <c r="A32" s="138" t="s">
        <v>137</v>
      </c>
      <c r="B32" s="135">
        <f t="shared" si="0"/>
        <v>30856</v>
      </c>
      <c r="C32" s="136">
        <f>D32+E32</f>
        <v>25563</v>
      </c>
      <c r="D32" s="136">
        <v>20628</v>
      </c>
      <c r="E32" s="136">
        <v>4935</v>
      </c>
      <c r="F32" s="140">
        <f t="shared" si="4"/>
        <v>5293</v>
      </c>
      <c r="G32" s="140">
        <v>32</v>
      </c>
      <c r="H32" s="140">
        <v>4111</v>
      </c>
      <c r="I32" s="140">
        <v>1150</v>
      </c>
      <c r="J32" s="140"/>
      <c r="K32" s="140"/>
      <c r="L32" s="140"/>
      <c r="M32" s="140"/>
      <c r="N32" s="140"/>
      <c r="O32" s="140"/>
      <c r="P32" s="140"/>
    </row>
    <row r="33" spans="1:16" ht="15" customHeight="1">
      <c r="A33" s="138" t="s">
        <v>9</v>
      </c>
      <c r="B33" s="135">
        <f t="shared" si="0"/>
        <v>20735</v>
      </c>
      <c r="C33" s="136">
        <f>D33+E33</f>
        <v>18326</v>
      </c>
      <c r="D33" s="136">
        <v>14640</v>
      </c>
      <c r="E33" s="136">
        <v>3686</v>
      </c>
      <c r="F33" s="140">
        <f t="shared" si="4"/>
        <v>2409</v>
      </c>
      <c r="G33" s="140"/>
      <c r="H33" s="140">
        <v>964</v>
      </c>
      <c r="I33" s="140">
        <v>1445</v>
      </c>
      <c r="J33" s="140"/>
      <c r="K33" s="140"/>
      <c r="L33" s="140"/>
      <c r="M33" s="140"/>
      <c r="N33" s="140"/>
      <c r="O33" s="140"/>
      <c r="P33" s="140"/>
    </row>
    <row r="34" spans="1:16" ht="15" customHeight="1">
      <c r="A34" s="138" t="s">
        <v>97</v>
      </c>
      <c r="B34" s="135">
        <f t="shared" si="0"/>
        <v>34119</v>
      </c>
      <c r="C34" s="136">
        <f>D34+E34</f>
        <v>26542</v>
      </c>
      <c r="D34" s="136">
        <v>21450</v>
      </c>
      <c r="E34" s="136">
        <v>5092</v>
      </c>
      <c r="F34" s="140">
        <f t="shared" si="4"/>
        <v>7577</v>
      </c>
      <c r="G34" s="140"/>
      <c r="H34" s="140">
        <v>4641</v>
      </c>
      <c r="I34" s="140">
        <v>2710</v>
      </c>
      <c r="J34" s="140"/>
      <c r="K34" s="140">
        <v>226</v>
      </c>
      <c r="L34" s="140"/>
      <c r="M34" s="140"/>
      <c r="N34" s="140"/>
      <c r="O34" s="140"/>
      <c r="P34" s="140"/>
    </row>
    <row r="35" spans="1:16" ht="15" customHeight="1">
      <c r="A35" s="138" t="s">
        <v>138</v>
      </c>
      <c r="B35" s="135">
        <f t="shared" si="0"/>
        <v>38492</v>
      </c>
      <c r="C35" s="136">
        <f>D35++E35</f>
        <v>26241</v>
      </c>
      <c r="D35" s="136">
        <v>21120</v>
      </c>
      <c r="E35" s="136">
        <v>5121</v>
      </c>
      <c r="F35" s="140">
        <f t="shared" si="4"/>
        <v>12251</v>
      </c>
      <c r="G35" s="140">
        <v>40</v>
      </c>
      <c r="H35" s="140">
        <v>8558</v>
      </c>
      <c r="I35" s="140">
        <v>3460</v>
      </c>
      <c r="J35" s="140"/>
      <c r="K35" s="140">
        <v>193</v>
      </c>
      <c r="L35" s="140"/>
      <c r="M35" s="140"/>
      <c r="N35" s="140"/>
      <c r="O35" s="140"/>
      <c r="P35" s="140"/>
    </row>
    <row r="36" spans="1:16" ht="15" customHeight="1">
      <c r="A36" s="138" t="s">
        <v>98</v>
      </c>
      <c r="B36" s="135">
        <f t="shared" si="0"/>
        <v>20500</v>
      </c>
      <c r="C36" s="136">
        <f t="shared" si="5" ref="C36:C44">D36+E36</f>
        <v>13530</v>
      </c>
      <c r="D36" s="136">
        <v>10912</v>
      </c>
      <c r="E36" s="136">
        <v>2618</v>
      </c>
      <c r="F36" s="140">
        <f t="shared" si="4"/>
        <v>6970</v>
      </c>
      <c r="G36" s="140"/>
      <c r="H36" s="140">
        <v>5600</v>
      </c>
      <c r="I36" s="140">
        <v>1370</v>
      </c>
      <c r="J36" s="140"/>
      <c r="K36" s="140"/>
      <c r="L36" s="140"/>
      <c r="M36" s="140"/>
      <c r="N36" s="140"/>
      <c r="O36" s="140"/>
      <c r="P36" s="140"/>
    </row>
    <row r="37" spans="1:16" ht="15" customHeight="1">
      <c r="A37" s="138" t="s">
        <v>99</v>
      </c>
      <c r="B37" s="135">
        <f t="shared" si="0"/>
        <v>44173</v>
      </c>
      <c r="C37" s="136">
        <f t="shared" si="5"/>
        <v>36281</v>
      </c>
      <c r="D37" s="136">
        <v>29320</v>
      </c>
      <c r="E37" s="136">
        <v>6961</v>
      </c>
      <c r="F37" s="140">
        <f t="shared" si="4"/>
        <v>7892</v>
      </c>
      <c r="G37" s="140"/>
      <c r="H37" s="140">
        <v>2205</v>
      </c>
      <c r="I37" s="140">
        <v>5413</v>
      </c>
      <c r="J37" s="140"/>
      <c r="K37" s="140">
        <v>274</v>
      </c>
      <c r="L37" s="140"/>
      <c r="M37" s="140"/>
      <c r="N37" s="140"/>
      <c r="O37" s="140"/>
      <c r="P37" s="140"/>
    </row>
    <row r="38" spans="1:16" ht="15" customHeight="1">
      <c r="A38" s="138" t="s">
        <v>10</v>
      </c>
      <c r="B38" s="135">
        <f t="shared" si="0"/>
        <v>36393</v>
      </c>
      <c r="C38" s="136">
        <f t="shared" si="5"/>
        <v>31017</v>
      </c>
      <c r="D38" s="136">
        <v>25015</v>
      </c>
      <c r="E38" s="136">
        <v>6002</v>
      </c>
      <c r="F38" s="140">
        <f t="shared" si="4"/>
        <v>5376</v>
      </c>
      <c r="G38" s="140">
        <v>80</v>
      </c>
      <c r="H38" s="140">
        <v>3240</v>
      </c>
      <c r="I38" s="140">
        <v>1846</v>
      </c>
      <c r="J38" s="140"/>
      <c r="K38" s="140">
        <v>210</v>
      </c>
      <c r="L38" s="140"/>
      <c r="M38" s="140"/>
      <c r="N38" s="140"/>
      <c r="O38" s="140"/>
      <c r="P38" s="140"/>
    </row>
    <row r="39" spans="1:16" ht="15" customHeight="1">
      <c r="A39" s="138" t="s">
        <v>11</v>
      </c>
      <c r="B39" s="135">
        <f t="shared" si="0"/>
        <v>30369</v>
      </c>
      <c r="C39" s="136">
        <f t="shared" si="5"/>
        <v>26414</v>
      </c>
      <c r="D39" s="136">
        <v>21317</v>
      </c>
      <c r="E39" s="136">
        <v>5097</v>
      </c>
      <c r="F39" s="140">
        <f t="shared" si="4"/>
        <v>3955</v>
      </c>
      <c r="G39" s="140"/>
      <c r="H39" s="140">
        <v>2287</v>
      </c>
      <c r="I39" s="140">
        <v>1408</v>
      </c>
      <c r="J39" s="140"/>
      <c r="K39" s="140">
        <v>260</v>
      </c>
      <c r="L39" s="140"/>
      <c r="M39" s="140"/>
      <c r="N39" s="140"/>
      <c r="O39" s="140"/>
      <c r="P39" s="140"/>
    </row>
    <row r="40" spans="1:16" ht="15" customHeight="1">
      <c r="A40" s="138" t="s">
        <v>100</v>
      </c>
      <c r="B40" s="135">
        <f t="shared" si="0"/>
        <v>31242</v>
      </c>
      <c r="C40" s="136">
        <f t="shared" si="5"/>
        <v>24951</v>
      </c>
      <c r="D40" s="136">
        <v>20077</v>
      </c>
      <c r="E40" s="136">
        <v>4874</v>
      </c>
      <c r="F40" s="140">
        <f t="shared" si="4"/>
        <v>6291</v>
      </c>
      <c r="G40" s="140"/>
      <c r="H40" s="140">
        <v>4386</v>
      </c>
      <c r="I40" s="140">
        <v>1485</v>
      </c>
      <c r="J40" s="140"/>
      <c r="K40" s="140">
        <v>420</v>
      </c>
      <c r="L40" s="140"/>
      <c r="M40" s="140"/>
      <c r="N40" s="140"/>
      <c r="O40" s="140"/>
      <c r="P40" s="140"/>
    </row>
    <row r="41" spans="1:16" ht="15" customHeight="1">
      <c r="A41" s="138" t="s">
        <v>12</v>
      </c>
      <c r="B41" s="135">
        <f t="shared" si="0"/>
        <v>39073</v>
      </c>
      <c r="C41" s="136">
        <f t="shared" si="5"/>
        <v>31541</v>
      </c>
      <c r="D41" s="136">
        <v>25414</v>
      </c>
      <c r="E41" s="136">
        <v>6127</v>
      </c>
      <c r="F41" s="140">
        <f t="shared" si="4"/>
        <v>7532</v>
      </c>
      <c r="G41" s="140"/>
      <c r="H41" s="140">
        <v>2962</v>
      </c>
      <c r="I41" s="140">
        <v>4370</v>
      </c>
      <c r="J41" s="140"/>
      <c r="K41" s="140">
        <v>200</v>
      </c>
      <c r="L41" s="140"/>
      <c r="M41" s="140"/>
      <c r="N41" s="140"/>
      <c r="O41" s="140"/>
      <c r="P41" s="140"/>
    </row>
    <row r="42" spans="1:16" ht="15" customHeight="1">
      <c r="A42" s="138" t="s">
        <v>93</v>
      </c>
      <c r="B42" s="135">
        <f t="shared" si="0"/>
        <v>51579</v>
      </c>
      <c r="C42" s="136">
        <f t="shared" si="5"/>
        <v>30858</v>
      </c>
      <c r="D42" s="136">
        <v>24810</v>
      </c>
      <c r="E42" s="136">
        <v>6048</v>
      </c>
      <c r="F42" s="140">
        <f t="shared" si="4"/>
        <v>20721</v>
      </c>
      <c r="G42" s="140"/>
      <c r="H42" s="140">
        <v>17236</v>
      </c>
      <c r="I42" s="140">
        <v>3320</v>
      </c>
      <c r="J42" s="140"/>
      <c r="K42" s="140">
        <v>165</v>
      </c>
      <c r="L42" s="140"/>
      <c r="M42" s="140"/>
      <c r="N42" s="140"/>
      <c r="O42" s="140"/>
      <c r="P42" s="140"/>
    </row>
    <row r="43" spans="1:16" ht="15" customHeight="1">
      <c r="A43" s="138" t="s">
        <v>101</v>
      </c>
      <c r="B43" s="135">
        <f t="shared" si="0"/>
        <v>34189</v>
      </c>
      <c r="C43" s="136">
        <f t="shared" si="5"/>
        <v>26734</v>
      </c>
      <c r="D43" s="136">
        <v>21600</v>
      </c>
      <c r="E43" s="136">
        <v>5134</v>
      </c>
      <c r="F43" s="140">
        <f t="shared" si="4"/>
        <v>7455</v>
      </c>
      <c r="G43" s="140"/>
      <c r="H43" s="140">
        <v>2123</v>
      </c>
      <c r="I43" s="140">
        <v>5122</v>
      </c>
      <c r="J43" s="140"/>
      <c r="K43" s="140">
        <v>210</v>
      </c>
      <c r="L43" s="140"/>
      <c r="M43" s="140"/>
      <c r="N43" s="140"/>
      <c r="O43" s="140"/>
      <c r="P43" s="140"/>
    </row>
    <row r="44" spans="1:16" ht="30" customHeight="1">
      <c r="A44" s="138" t="s">
        <v>94</v>
      </c>
      <c r="B44" s="135">
        <f t="shared" si="0"/>
        <v>91826</v>
      </c>
      <c r="C44" s="136">
        <f t="shared" si="5"/>
        <v>79592</v>
      </c>
      <c r="D44" s="136">
        <v>64402</v>
      </c>
      <c r="E44" s="136">
        <v>15190</v>
      </c>
      <c r="F44" s="140">
        <f t="shared" si="4"/>
        <v>12234</v>
      </c>
      <c r="G44" s="140">
        <v>50</v>
      </c>
      <c r="H44" s="140">
        <v>9934</v>
      </c>
      <c r="I44" s="140">
        <v>2250</v>
      </c>
      <c r="J44" s="140"/>
      <c r="K44" s="140"/>
      <c r="L44" s="140"/>
      <c r="M44" s="140"/>
      <c r="N44" s="140"/>
      <c r="O44" s="140"/>
      <c r="P44" s="140"/>
    </row>
    <row r="45" spans="1:16" ht="15" customHeight="1">
      <c r="A45" s="138" t="s">
        <v>13</v>
      </c>
      <c r="B45" s="135">
        <f>SUM(C45:F45,L45:P45)</f>
        <v>6000</v>
      </c>
      <c r="C45" s="136"/>
      <c r="D45" s="136"/>
      <c r="E45" s="136"/>
      <c r="F45" s="140">
        <f t="shared" si="4"/>
        <v>6000</v>
      </c>
      <c r="G45" s="140"/>
      <c r="H45" s="140">
        <v>6000</v>
      </c>
      <c r="I45" s="140"/>
      <c r="J45" s="140"/>
      <c r="K45" s="140"/>
      <c r="L45" s="140"/>
      <c r="M45" s="140"/>
      <c r="N45" s="140"/>
      <c r="O45" s="140"/>
      <c r="P45" s="140"/>
    </row>
    <row r="46" spans="1:16" ht="15" customHeight="1">
      <c r="A46" s="138" t="s">
        <v>14</v>
      </c>
      <c r="B46" s="135">
        <f t="shared" si="6" ref="B46:B51">SUM(C46+F46,L46:P46)</f>
        <v>41674</v>
      </c>
      <c r="C46" s="136"/>
      <c r="D46" s="136"/>
      <c r="E46" s="136"/>
      <c r="F46" s="140">
        <f t="shared" si="4"/>
        <v>41674</v>
      </c>
      <c r="G46" s="140"/>
      <c r="H46" s="140">
        <v>41674</v>
      </c>
      <c r="I46" s="140"/>
      <c r="J46" s="140"/>
      <c r="K46" s="140"/>
      <c r="L46" s="140">
        <v>0</v>
      </c>
      <c r="M46" s="140"/>
      <c r="N46" s="140"/>
      <c r="O46" s="140"/>
      <c r="P46" s="140"/>
    </row>
    <row r="47" spans="1:16" ht="30" customHeight="1">
      <c r="A47" s="138" t="s">
        <v>183</v>
      </c>
      <c r="B47" s="135">
        <f t="shared" si="6"/>
        <v>881967</v>
      </c>
      <c r="C47" s="136"/>
      <c r="D47" s="136"/>
      <c r="E47" s="136"/>
      <c r="F47" s="140">
        <f t="shared" si="4"/>
        <v>21746</v>
      </c>
      <c r="G47" s="140"/>
      <c r="H47" s="140">
        <v>21746</v>
      </c>
      <c r="I47" s="140"/>
      <c r="J47" s="140"/>
      <c r="K47" s="140"/>
      <c r="L47" s="140"/>
      <c r="M47" s="140">
        <v>860221</v>
      </c>
      <c r="N47" s="140"/>
      <c r="O47" s="140"/>
      <c r="P47" s="140"/>
    </row>
    <row r="48" spans="1:16" ht="15" customHeight="1">
      <c r="A48" s="138" t="s">
        <v>15</v>
      </c>
      <c r="B48" s="135">
        <f t="shared" si="6"/>
        <v>75861</v>
      </c>
      <c r="C48" s="136">
        <f>D48+E48</f>
        <v>56841</v>
      </c>
      <c r="D48" s="136">
        <v>43987</v>
      </c>
      <c r="E48" s="136">
        <v>12854</v>
      </c>
      <c r="F48" s="140">
        <f t="shared" si="4"/>
        <v>19020</v>
      </c>
      <c r="G48" s="140">
        <v>140</v>
      </c>
      <c r="H48" s="140">
        <v>15455</v>
      </c>
      <c r="I48" s="140">
        <v>3425</v>
      </c>
      <c r="J48" s="140"/>
      <c r="K48" s="140"/>
      <c r="L48" s="140"/>
      <c r="M48" s="140"/>
      <c r="N48" s="140"/>
      <c r="O48" s="140"/>
      <c r="P48" s="140"/>
    </row>
    <row r="49" spans="1:16" ht="15" customHeight="1">
      <c r="A49" s="141" t="s">
        <v>16</v>
      </c>
      <c r="B49" s="135">
        <f t="shared" si="6"/>
        <v>181947</v>
      </c>
      <c r="C49" s="136">
        <f>D49+E49</f>
        <v>161849</v>
      </c>
      <c r="D49" s="136">
        <v>131916</v>
      </c>
      <c r="E49" s="136">
        <v>29933</v>
      </c>
      <c r="F49" s="140">
        <f t="shared" si="4"/>
        <v>19318</v>
      </c>
      <c r="G49" s="140">
        <v>130</v>
      </c>
      <c r="H49" s="140">
        <v>8208</v>
      </c>
      <c r="I49" s="140">
        <v>10830</v>
      </c>
      <c r="J49" s="140"/>
      <c r="K49" s="140">
        <v>150</v>
      </c>
      <c r="L49" s="140"/>
      <c r="M49" s="140"/>
      <c r="N49" s="140">
        <v>780</v>
      </c>
      <c r="O49" s="140"/>
      <c r="P49" s="140"/>
    </row>
    <row r="50" spans="1:16" ht="15" customHeight="1">
      <c r="A50" s="134" t="s">
        <v>60</v>
      </c>
      <c r="B50" s="135">
        <f t="shared" si="6"/>
        <v>64886</v>
      </c>
      <c r="C50" s="136">
        <f>D50+E50</f>
        <v>60186</v>
      </c>
      <c r="D50" s="136">
        <v>48241</v>
      </c>
      <c r="E50" s="136">
        <v>11945</v>
      </c>
      <c r="F50" s="140">
        <f t="shared" si="4"/>
        <v>4700</v>
      </c>
      <c r="G50" s="140"/>
      <c r="H50" s="140">
        <v>3920</v>
      </c>
      <c r="I50" s="140">
        <v>780</v>
      </c>
      <c r="J50" s="140"/>
      <c r="K50" s="140"/>
      <c r="L50" s="140"/>
      <c r="M50" s="140"/>
      <c r="N50" s="140"/>
      <c r="O50" s="140"/>
      <c r="P50" s="140"/>
    </row>
    <row r="51" spans="1:16" ht="15" customHeight="1">
      <c r="A51" s="138" t="s">
        <v>17</v>
      </c>
      <c r="B51" s="135">
        <f t="shared" si="6"/>
        <v>59824</v>
      </c>
      <c r="C51" s="136">
        <f>D51+E51</f>
        <v>58119</v>
      </c>
      <c r="D51" s="136">
        <v>46338</v>
      </c>
      <c r="E51" s="136">
        <v>11781</v>
      </c>
      <c r="F51" s="140">
        <f t="shared" si="4"/>
        <v>1705</v>
      </c>
      <c r="G51" s="140">
        <v>150</v>
      </c>
      <c r="H51" s="140">
        <v>705</v>
      </c>
      <c r="I51" s="140">
        <v>850</v>
      </c>
      <c r="J51" s="140"/>
      <c r="K51" s="140"/>
      <c r="L51" s="140"/>
      <c r="M51" s="140"/>
      <c r="N51" s="140"/>
      <c r="O51" s="140"/>
      <c r="P51" s="140"/>
    </row>
    <row r="52" spans="1:16" ht="15" customHeight="1">
      <c r="A52" s="138" t="s">
        <v>18</v>
      </c>
      <c r="B52" s="135">
        <f>SUM(C52:F52,L52:P52)</f>
        <v>90000</v>
      </c>
      <c r="C52" s="136"/>
      <c r="D52" s="136"/>
      <c r="E52" s="136"/>
      <c r="F52" s="140">
        <f>SUM(G52:K52)</f>
        <v>90000</v>
      </c>
      <c r="G52" s="140"/>
      <c r="H52" s="140"/>
      <c r="I52" s="140"/>
      <c r="J52" s="140"/>
      <c r="K52" s="140">
        <v>90000</v>
      </c>
      <c r="L52" s="140"/>
      <c r="M52" s="140"/>
      <c r="N52" s="140"/>
      <c r="O52" s="140"/>
      <c r="P52" s="140"/>
    </row>
    <row r="53" spans="1:16" ht="30" customHeight="1">
      <c r="A53" s="138" t="s">
        <v>63</v>
      </c>
      <c r="B53" s="135">
        <f>SUM(C53:F53,L53:P53)</f>
        <v>3244</v>
      </c>
      <c r="C53" s="136"/>
      <c r="D53" s="136"/>
      <c r="E53" s="136"/>
      <c r="F53" s="140">
        <f t="shared" si="7" ref="F53:F82">SUM(G53:K53)</f>
        <v>0</v>
      </c>
      <c r="G53" s="140"/>
      <c r="H53" s="140"/>
      <c r="I53" s="140"/>
      <c r="J53" s="140"/>
      <c r="K53" s="140"/>
      <c r="L53" s="140"/>
      <c r="M53" s="140"/>
      <c r="N53" s="140"/>
      <c r="O53" s="140"/>
      <c r="P53" s="140">
        <v>3244</v>
      </c>
    </row>
    <row r="54" spans="1:16" ht="30" customHeight="1">
      <c r="A54" s="138" t="s">
        <v>65</v>
      </c>
      <c r="B54" s="135">
        <f>SUM(C54+F54,L54:P54)</f>
        <v>93707</v>
      </c>
      <c r="C54" s="136">
        <f>D54+E54</f>
        <v>61140</v>
      </c>
      <c r="D54" s="136">
        <v>49282</v>
      </c>
      <c r="E54" s="136">
        <v>11858</v>
      </c>
      <c r="F54" s="140">
        <f t="shared" si="7"/>
        <v>32567</v>
      </c>
      <c r="G54" s="140">
        <v>520</v>
      </c>
      <c r="H54" s="140">
        <v>28147</v>
      </c>
      <c r="I54" s="140">
        <v>3900</v>
      </c>
      <c r="J54" s="140"/>
      <c r="K54" s="140"/>
      <c r="L54" s="140"/>
      <c r="M54" s="140"/>
      <c r="N54" s="140"/>
      <c r="O54" s="140"/>
      <c r="P54" s="140"/>
    </row>
    <row r="55" spans="1:16" ht="15" customHeight="1">
      <c r="A55" s="138" t="s">
        <v>190</v>
      </c>
      <c r="B55" s="135">
        <f>SUM(C55:F55,L55:P55)</f>
        <v>50000</v>
      </c>
      <c r="C55" s="136"/>
      <c r="D55" s="136"/>
      <c r="E55" s="136"/>
      <c r="F55" s="140">
        <f t="shared" si="7"/>
        <v>0</v>
      </c>
      <c r="G55" s="140"/>
      <c r="H55" s="140"/>
      <c r="I55" s="140"/>
      <c r="J55" s="140"/>
      <c r="K55" s="140"/>
      <c r="L55" s="140">
        <v>50000</v>
      </c>
      <c r="M55" s="140"/>
      <c r="N55" s="140"/>
      <c r="O55" s="140"/>
      <c r="P55" s="140"/>
    </row>
    <row r="56" spans="1:16" ht="30" customHeight="1">
      <c r="A56" s="137" t="s">
        <v>68</v>
      </c>
      <c r="B56" s="135">
        <f>SUM(C56:F56,L56:P56)</f>
        <v>104110</v>
      </c>
      <c r="C56" s="136"/>
      <c r="D56" s="136"/>
      <c r="E56" s="136"/>
      <c r="F56" s="140">
        <f t="shared" si="7"/>
        <v>104110</v>
      </c>
      <c r="G56" s="140"/>
      <c r="H56" s="140">
        <v>103910</v>
      </c>
      <c r="I56" s="140">
        <v>200</v>
      </c>
      <c r="J56" s="140"/>
      <c r="K56" s="140"/>
      <c r="L56" s="140"/>
      <c r="M56" s="140"/>
      <c r="N56" s="140"/>
      <c r="O56" s="140"/>
      <c r="P56" s="140"/>
    </row>
    <row r="57" spans="1:16" ht="30" customHeight="1">
      <c r="A57" s="137" t="s">
        <v>222</v>
      </c>
      <c r="B57" s="135">
        <f t="shared" si="8" ref="B57:B76">SUM(C57+F57,L57:P57)</f>
        <v>65579</v>
      </c>
      <c r="C57" s="136"/>
      <c r="D57" s="136"/>
      <c r="E57" s="136"/>
      <c r="F57" s="140">
        <f t="shared" si="7"/>
        <v>65579</v>
      </c>
      <c r="G57" s="140"/>
      <c r="H57" s="140">
        <v>47974</v>
      </c>
      <c r="I57" s="140">
        <v>17605</v>
      </c>
      <c r="J57" s="140"/>
      <c r="K57" s="140"/>
      <c r="L57" s="140"/>
      <c r="M57" s="140"/>
      <c r="N57" s="140"/>
      <c r="O57" s="140"/>
      <c r="P57" s="140"/>
    </row>
    <row r="58" spans="1:16" ht="30" customHeight="1">
      <c r="A58" s="134" t="s">
        <v>69</v>
      </c>
      <c r="B58" s="135">
        <f t="shared" si="8"/>
        <v>28549</v>
      </c>
      <c r="C58" s="136"/>
      <c r="D58" s="136"/>
      <c r="E58" s="136"/>
      <c r="F58" s="140">
        <f t="shared" si="7"/>
        <v>28549</v>
      </c>
      <c r="G58" s="140"/>
      <c r="H58" s="140">
        <v>23749</v>
      </c>
      <c r="I58" s="140">
        <v>4800</v>
      </c>
      <c r="J58" s="140"/>
      <c r="K58" s="140"/>
      <c r="L58" s="140"/>
      <c r="M58" s="140"/>
      <c r="N58" s="140"/>
      <c r="O58" s="140"/>
      <c r="P58" s="140"/>
    </row>
    <row r="59" spans="1:16" ht="30" customHeight="1">
      <c r="A59" s="134" t="s">
        <v>70</v>
      </c>
      <c r="B59" s="135">
        <f t="shared" si="8"/>
        <v>24752</v>
      </c>
      <c r="C59" s="136"/>
      <c r="D59" s="136"/>
      <c r="E59" s="136"/>
      <c r="F59" s="140">
        <f t="shared" si="7"/>
        <v>24752</v>
      </c>
      <c r="G59" s="140"/>
      <c r="H59" s="140">
        <v>23702</v>
      </c>
      <c r="I59" s="140">
        <v>1050</v>
      </c>
      <c r="J59" s="140"/>
      <c r="K59" s="140"/>
      <c r="L59" s="140"/>
      <c r="M59" s="140"/>
      <c r="N59" s="140"/>
      <c r="O59" s="140"/>
      <c r="P59" s="140"/>
    </row>
    <row r="60" spans="1:16" ht="30" customHeight="1">
      <c r="A60" s="134" t="s">
        <v>71</v>
      </c>
      <c r="B60" s="135">
        <f t="shared" si="8"/>
        <v>69706</v>
      </c>
      <c r="C60" s="136"/>
      <c r="D60" s="136"/>
      <c r="E60" s="136"/>
      <c r="F60" s="140">
        <f t="shared" si="7"/>
        <v>63706</v>
      </c>
      <c r="G60" s="140"/>
      <c r="H60" s="140">
        <v>61506</v>
      </c>
      <c r="I60" s="140">
        <v>2200</v>
      </c>
      <c r="J60" s="140"/>
      <c r="K60" s="140"/>
      <c r="L60" s="140"/>
      <c r="M60" s="140"/>
      <c r="N60" s="140">
        <v>6000</v>
      </c>
      <c r="O60" s="140"/>
      <c r="P60" s="140"/>
    </row>
    <row r="61" spans="1:16" ht="30" customHeight="1">
      <c r="A61" s="134" t="s">
        <v>72</v>
      </c>
      <c r="B61" s="135">
        <f t="shared" si="8"/>
        <v>37968</v>
      </c>
      <c r="C61" s="136"/>
      <c r="D61" s="136"/>
      <c r="E61" s="136"/>
      <c r="F61" s="140">
        <f t="shared" si="7"/>
        <v>37968</v>
      </c>
      <c r="G61" s="140"/>
      <c r="H61" s="140">
        <v>36748</v>
      </c>
      <c r="I61" s="140">
        <v>1220</v>
      </c>
      <c r="J61" s="140"/>
      <c r="K61" s="140"/>
      <c r="L61" s="140"/>
      <c r="M61" s="140"/>
      <c r="N61" s="140"/>
      <c r="O61" s="140"/>
      <c r="P61" s="140"/>
    </row>
    <row r="62" spans="1:16" ht="30" customHeight="1">
      <c r="A62" s="134" t="s">
        <v>73</v>
      </c>
      <c r="B62" s="135">
        <f t="shared" si="8"/>
        <v>25188</v>
      </c>
      <c r="C62" s="136"/>
      <c r="D62" s="136"/>
      <c r="E62" s="136"/>
      <c r="F62" s="140">
        <f t="shared" si="7"/>
        <v>25188</v>
      </c>
      <c r="G62" s="140"/>
      <c r="H62" s="140">
        <v>23778</v>
      </c>
      <c r="I62" s="140">
        <v>1410</v>
      </c>
      <c r="J62" s="140"/>
      <c r="K62" s="140"/>
      <c r="L62" s="140"/>
      <c r="M62" s="140"/>
      <c r="N62" s="140"/>
      <c r="O62" s="140"/>
      <c r="P62" s="140"/>
    </row>
    <row r="63" spans="1:16" ht="30" customHeight="1">
      <c r="A63" s="134" t="s">
        <v>74</v>
      </c>
      <c r="B63" s="135">
        <f t="shared" si="8"/>
        <v>34470</v>
      </c>
      <c r="C63" s="136"/>
      <c r="D63" s="136"/>
      <c r="E63" s="136"/>
      <c r="F63" s="140">
        <f t="shared" si="7"/>
        <v>34470</v>
      </c>
      <c r="G63" s="140"/>
      <c r="H63" s="140">
        <v>34370</v>
      </c>
      <c r="I63" s="140">
        <v>100</v>
      </c>
      <c r="J63" s="140"/>
      <c r="K63" s="140"/>
      <c r="L63" s="140"/>
      <c r="M63" s="140"/>
      <c r="N63" s="140"/>
      <c r="O63" s="140"/>
      <c r="P63" s="140"/>
    </row>
    <row r="64" spans="1:16" ht="30" customHeight="1">
      <c r="A64" s="134" t="s">
        <v>220</v>
      </c>
      <c r="B64" s="135">
        <f t="shared" si="8"/>
        <v>17215</v>
      </c>
      <c r="C64" s="136"/>
      <c r="D64" s="136"/>
      <c r="E64" s="136"/>
      <c r="F64" s="140">
        <f t="shared" si="7"/>
        <v>17215</v>
      </c>
      <c r="G64" s="140"/>
      <c r="H64" s="140">
        <v>13015</v>
      </c>
      <c r="I64" s="140">
        <v>4200</v>
      </c>
      <c r="J64" s="140"/>
      <c r="K64" s="140"/>
      <c r="L64" s="140"/>
      <c r="M64" s="140"/>
      <c r="N64" s="140"/>
      <c r="O64" s="140"/>
      <c r="P64" s="140"/>
    </row>
    <row r="65" spans="1:16" ht="30" customHeight="1">
      <c r="A65" s="134" t="s">
        <v>75</v>
      </c>
      <c r="B65" s="135">
        <f t="shared" si="8"/>
        <v>15475</v>
      </c>
      <c r="C65" s="136"/>
      <c r="D65" s="136"/>
      <c r="E65" s="136"/>
      <c r="F65" s="140">
        <f t="shared" si="7"/>
        <v>15475</v>
      </c>
      <c r="G65" s="140"/>
      <c r="H65" s="140">
        <v>15295</v>
      </c>
      <c r="I65" s="140">
        <v>180</v>
      </c>
      <c r="J65" s="140"/>
      <c r="K65" s="140"/>
      <c r="L65" s="140"/>
      <c r="M65" s="140"/>
      <c r="N65" s="140"/>
      <c r="O65" s="140"/>
      <c r="P65" s="140"/>
    </row>
    <row r="66" spans="1:16" ht="41.25" customHeight="1">
      <c r="A66" s="134" t="s">
        <v>758</v>
      </c>
      <c r="B66" s="135">
        <f t="shared" si="8"/>
        <v>70044</v>
      </c>
      <c r="C66" s="136"/>
      <c r="D66" s="136"/>
      <c r="E66" s="136"/>
      <c r="F66" s="140">
        <f t="shared" si="7"/>
        <v>50044</v>
      </c>
      <c r="G66" s="140"/>
      <c r="H66" s="140">
        <v>9000</v>
      </c>
      <c r="I66" s="140">
        <v>41044</v>
      </c>
      <c r="J66" s="140"/>
      <c r="K66" s="140"/>
      <c r="L66" s="140"/>
      <c r="M66" s="140"/>
      <c r="N66" s="140">
        <v>20000</v>
      </c>
      <c r="O66" s="140"/>
      <c r="P66" s="140"/>
    </row>
    <row r="67" spans="1:16" ht="30" customHeight="1">
      <c r="A67" s="134" t="s">
        <v>219</v>
      </c>
      <c r="B67" s="135">
        <f t="shared" si="8"/>
        <v>39490</v>
      </c>
      <c r="C67" s="136"/>
      <c r="D67" s="136"/>
      <c r="E67" s="136"/>
      <c r="F67" s="140">
        <f t="shared" si="7"/>
        <v>39490</v>
      </c>
      <c r="G67" s="140"/>
      <c r="H67" s="140">
        <v>38840</v>
      </c>
      <c r="I67" s="140">
        <v>650</v>
      </c>
      <c r="J67" s="140"/>
      <c r="K67" s="140"/>
      <c r="L67" s="140"/>
      <c r="M67" s="140"/>
      <c r="N67" s="140"/>
      <c r="O67" s="140"/>
      <c r="P67" s="140"/>
    </row>
    <row r="68" spans="1:16" ht="30" customHeight="1">
      <c r="A68" s="134" t="s">
        <v>221</v>
      </c>
      <c r="B68" s="135">
        <f t="shared" si="8"/>
        <v>272453</v>
      </c>
      <c r="C68" s="136"/>
      <c r="D68" s="136"/>
      <c r="E68" s="136"/>
      <c r="F68" s="140">
        <f t="shared" si="7"/>
        <v>77453</v>
      </c>
      <c r="G68" s="140"/>
      <c r="H68" s="140">
        <v>31453</v>
      </c>
      <c r="I68" s="140">
        <v>46000</v>
      </c>
      <c r="J68" s="140"/>
      <c r="K68" s="140"/>
      <c r="L68" s="140"/>
      <c r="M68" s="140"/>
      <c r="N68" s="140">
        <v>195000</v>
      </c>
      <c r="O68" s="140"/>
      <c r="P68" s="140"/>
    </row>
    <row r="69" spans="1:16" ht="30" customHeight="1">
      <c r="A69" s="134" t="s">
        <v>223</v>
      </c>
      <c r="B69" s="135">
        <f t="shared" si="8"/>
        <v>52319</v>
      </c>
      <c r="C69" s="136">
        <f>D69+E69</f>
        <v>2472</v>
      </c>
      <c r="D69" s="136">
        <v>2000</v>
      </c>
      <c r="E69" s="136">
        <v>472</v>
      </c>
      <c r="F69" s="140">
        <f t="shared" si="7"/>
        <v>29847</v>
      </c>
      <c r="G69" s="140"/>
      <c r="H69" s="140">
        <v>19867</v>
      </c>
      <c r="I69" s="140">
        <v>9980</v>
      </c>
      <c r="J69" s="140"/>
      <c r="K69" s="140"/>
      <c r="L69" s="140"/>
      <c r="M69" s="140"/>
      <c r="N69" s="140">
        <v>20000</v>
      </c>
      <c r="O69" s="140"/>
      <c r="P69" s="140"/>
    </row>
    <row r="70" spans="1:16" ht="30" customHeight="1">
      <c r="A70" s="134" t="s">
        <v>224</v>
      </c>
      <c r="B70" s="135">
        <f t="shared" si="8"/>
        <v>83521</v>
      </c>
      <c r="C70" s="136"/>
      <c r="D70" s="136"/>
      <c r="E70" s="136"/>
      <c r="F70" s="140">
        <f t="shared" si="7"/>
        <v>55321</v>
      </c>
      <c r="G70" s="140"/>
      <c r="H70" s="140">
        <v>50483</v>
      </c>
      <c r="I70" s="140">
        <v>4838</v>
      </c>
      <c r="J70" s="140"/>
      <c r="K70" s="140"/>
      <c r="L70" s="140"/>
      <c r="M70" s="140"/>
      <c r="N70" s="140">
        <v>28200</v>
      </c>
      <c r="O70" s="140"/>
      <c r="P70" s="140"/>
    </row>
    <row r="71" spans="1:16" ht="30" customHeight="1">
      <c r="A71" s="134" t="s">
        <v>76</v>
      </c>
      <c r="B71" s="135">
        <f t="shared" si="8"/>
        <v>48629</v>
      </c>
      <c r="C71" s="136"/>
      <c r="D71" s="136"/>
      <c r="E71" s="136"/>
      <c r="F71" s="140">
        <f t="shared" si="7"/>
        <v>48629</v>
      </c>
      <c r="G71" s="140"/>
      <c r="H71" s="140">
        <v>43229</v>
      </c>
      <c r="I71" s="140">
        <v>5400</v>
      </c>
      <c r="J71" s="140"/>
      <c r="K71" s="140"/>
      <c r="L71" s="140"/>
      <c r="M71" s="140"/>
      <c r="N71" s="140"/>
      <c r="O71" s="140"/>
      <c r="P71" s="140"/>
    </row>
    <row r="72" spans="1:16" ht="30" customHeight="1">
      <c r="A72" s="134" t="s">
        <v>77</v>
      </c>
      <c r="B72" s="135">
        <f t="shared" si="8"/>
        <v>20346</v>
      </c>
      <c r="C72" s="136"/>
      <c r="D72" s="136"/>
      <c r="E72" s="136"/>
      <c r="F72" s="140">
        <f t="shared" si="7"/>
        <v>20346</v>
      </c>
      <c r="G72" s="140"/>
      <c r="H72" s="140">
        <v>19346</v>
      </c>
      <c r="I72" s="140">
        <v>1000</v>
      </c>
      <c r="J72" s="140"/>
      <c r="K72" s="140"/>
      <c r="L72" s="140"/>
      <c r="M72" s="140"/>
      <c r="N72" s="140"/>
      <c r="O72" s="140"/>
      <c r="P72" s="140"/>
    </row>
    <row r="73" spans="1:16" ht="30" customHeight="1">
      <c r="A73" s="134" t="s">
        <v>227</v>
      </c>
      <c r="B73" s="135">
        <f t="shared" si="8"/>
        <v>31686</v>
      </c>
      <c r="C73" s="136">
        <f>D73+E73</f>
        <v>7507</v>
      </c>
      <c r="D73" s="136">
        <v>5880</v>
      </c>
      <c r="E73" s="136">
        <v>1627</v>
      </c>
      <c r="F73" s="140">
        <f t="shared" si="7"/>
        <v>24179</v>
      </c>
      <c r="G73" s="140"/>
      <c r="H73" s="140">
        <v>17009</v>
      </c>
      <c r="I73" s="140">
        <v>7170</v>
      </c>
      <c r="J73" s="140"/>
      <c r="K73" s="140"/>
      <c r="L73" s="140"/>
      <c r="M73" s="140"/>
      <c r="N73" s="140"/>
      <c r="O73" s="140"/>
      <c r="P73" s="140"/>
    </row>
    <row r="74" spans="1:16" ht="30" customHeight="1">
      <c r="A74" s="134" t="s">
        <v>78</v>
      </c>
      <c r="B74" s="135">
        <f t="shared" si="8"/>
        <v>29811</v>
      </c>
      <c r="C74" s="136">
        <f t="shared" si="9" ref="C74:C76">D74+E74</f>
        <v>0</v>
      </c>
      <c r="D74" s="136"/>
      <c r="E74" s="136"/>
      <c r="F74" s="140">
        <f t="shared" si="7"/>
        <v>29811</v>
      </c>
      <c r="G74" s="140"/>
      <c r="H74" s="140">
        <v>25141</v>
      </c>
      <c r="I74" s="140">
        <v>4670</v>
      </c>
      <c r="J74" s="140"/>
      <c r="K74" s="140"/>
      <c r="L74" s="140"/>
      <c r="M74" s="140"/>
      <c r="N74" s="140"/>
      <c r="O74" s="140"/>
      <c r="P74" s="140"/>
    </row>
    <row r="75" spans="1:16" ht="30" customHeight="1">
      <c r="A75" s="134" t="s">
        <v>225</v>
      </c>
      <c r="B75" s="135">
        <f t="shared" si="8"/>
        <v>9793</v>
      </c>
      <c r="C75" s="136">
        <f t="shared" si="9"/>
        <v>0</v>
      </c>
      <c r="D75" s="136"/>
      <c r="E75" s="136"/>
      <c r="F75" s="140">
        <f t="shared" si="7"/>
        <v>9793</v>
      </c>
      <c r="G75" s="140"/>
      <c r="H75" s="140">
        <v>6793</v>
      </c>
      <c r="I75" s="140">
        <v>3000</v>
      </c>
      <c r="J75" s="140"/>
      <c r="K75" s="140"/>
      <c r="L75" s="140"/>
      <c r="M75" s="140"/>
      <c r="N75" s="140"/>
      <c r="O75" s="140"/>
      <c r="P75" s="140"/>
    </row>
    <row r="76" spans="1:16" ht="30" customHeight="1">
      <c r="A76" s="134" t="s">
        <v>226</v>
      </c>
      <c r="B76" s="135">
        <f t="shared" si="8"/>
        <v>24565</v>
      </c>
      <c r="C76" s="136">
        <f t="shared" si="9"/>
        <v>5191</v>
      </c>
      <c r="D76" s="136">
        <v>4200</v>
      </c>
      <c r="E76" s="136">
        <v>991</v>
      </c>
      <c r="F76" s="140">
        <f t="shared" si="7"/>
        <v>19374</v>
      </c>
      <c r="G76" s="140"/>
      <c r="H76" s="140">
        <v>12874</v>
      </c>
      <c r="I76" s="140">
        <v>6500</v>
      </c>
      <c r="J76" s="140"/>
      <c r="K76" s="140"/>
      <c r="L76" s="140"/>
      <c r="M76" s="140"/>
      <c r="N76" s="140"/>
      <c r="O76" s="140"/>
      <c r="P76" s="140"/>
    </row>
    <row r="77" spans="1:16" ht="30" customHeight="1">
      <c r="A77" s="134" t="s">
        <v>735</v>
      </c>
      <c r="B77" s="135">
        <f>SUM(C77:F77,L77:P77)</f>
        <v>298886</v>
      </c>
      <c r="C77" s="136"/>
      <c r="D77" s="136"/>
      <c r="E77" s="136"/>
      <c r="F77" s="140">
        <f t="shared" si="7"/>
        <v>298886</v>
      </c>
      <c r="G77" s="140"/>
      <c r="H77" s="140">
        <v>298886</v>
      </c>
      <c r="I77" s="140"/>
      <c r="J77" s="140"/>
      <c r="K77" s="140"/>
      <c r="L77" s="140"/>
      <c r="M77" s="140"/>
      <c r="N77" s="140"/>
      <c r="O77" s="140"/>
      <c r="P77" s="140"/>
    </row>
    <row r="78" spans="1:16" ht="15" customHeight="1">
      <c r="A78" s="134" t="s">
        <v>139</v>
      </c>
      <c r="B78" s="135">
        <f t="shared" si="10" ref="B78:B83">SUM(C78+F78,L78:P78)</f>
        <v>70475</v>
      </c>
      <c r="C78" s="136">
        <f>D78+E78</f>
        <v>1483</v>
      </c>
      <c r="D78" s="136">
        <v>1200</v>
      </c>
      <c r="E78" s="136">
        <v>283</v>
      </c>
      <c r="F78" s="140">
        <f t="shared" si="7"/>
        <v>2360</v>
      </c>
      <c r="G78" s="140"/>
      <c r="H78" s="140">
        <v>2360</v>
      </c>
      <c r="I78" s="140"/>
      <c r="J78" s="140"/>
      <c r="K78" s="140"/>
      <c r="L78" s="140"/>
      <c r="M78" s="140"/>
      <c r="N78" s="140"/>
      <c r="O78" s="140">
        <v>57000</v>
      </c>
      <c r="P78" s="140">
        <v>9632</v>
      </c>
    </row>
    <row r="79" spans="1:16" ht="15" customHeight="1">
      <c r="A79" s="134" t="s">
        <v>140</v>
      </c>
      <c r="B79" s="135">
        <f t="shared" si="10"/>
        <v>18664</v>
      </c>
      <c r="C79" s="136">
        <f>D79+E79</f>
        <v>14640</v>
      </c>
      <c r="D79" s="136">
        <v>11830</v>
      </c>
      <c r="E79" s="136">
        <v>2810</v>
      </c>
      <c r="F79" s="140">
        <f t="shared" si="7"/>
        <v>4024</v>
      </c>
      <c r="G79" s="140"/>
      <c r="H79" s="140">
        <v>3444</v>
      </c>
      <c r="I79" s="140">
        <v>580</v>
      </c>
      <c r="J79" s="140"/>
      <c r="K79" s="140"/>
      <c r="L79" s="140"/>
      <c r="M79" s="140"/>
      <c r="N79" s="140"/>
      <c r="O79" s="140"/>
      <c r="P79" s="140"/>
    </row>
    <row r="80" spans="1:16" ht="45" customHeight="1">
      <c r="A80" s="141" t="s">
        <v>253</v>
      </c>
      <c r="B80" s="135">
        <f t="shared" si="10"/>
        <v>187419</v>
      </c>
      <c r="C80" s="136"/>
      <c r="D80" s="136"/>
      <c r="E80" s="136"/>
      <c r="F80" s="140">
        <f t="shared" si="7"/>
        <v>0</v>
      </c>
      <c r="G80" s="140"/>
      <c r="H80" s="140"/>
      <c r="I80" s="140"/>
      <c r="J80" s="140"/>
      <c r="K80" s="140"/>
      <c r="L80" s="140"/>
      <c r="M80" s="140"/>
      <c r="N80" s="140">
        <v>187419</v>
      </c>
      <c r="O80" s="140"/>
      <c r="P80" s="140"/>
    </row>
    <row r="81" spans="1:16" ht="45" customHeight="1">
      <c r="A81" s="141" t="s">
        <v>79</v>
      </c>
      <c r="B81" s="135">
        <f t="shared" si="10"/>
        <v>66093</v>
      </c>
      <c r="C81" s="136"/>
      <c r="D81" s="136"/>
      <c r="E81" s="136"/>
      <c r="F81" s="140">
        <f t="shared" si="7"/>
        <v>66093</v>
      </c>
      <c r="G81" s="140"/>
      <c r="H81" s="140">
        <v>66093</v>
      </c>
      <c r="I81" s="140"/>
      <c r="J81" s="140"/>
      <c r="K81" s="140"/>
      <c r="L81" s="140"/>
      <c r="M81" s="140"/>
      <c r="N81" s="140"/>
      <c r="O81" s="140"/>
      <c r="P81" s="140"/>
    </row>
    <row r="82" spans="1:16" ht="30" customHeight="1">
      <c r="A82" s="134" t="s">
        <v>333</v>
      </c>
      <c r="B82" s="135">
        <f t="shared" si="10"/>
        <v>7712</v>
      </c>
      <c r="C82" s="136"/>
      <c r="D82" s="136"/>
      <c r="E82" s="136"/>
      <c r="F82" s="140">
        <f t="shared" si="7"/>
        <v>7712</v>
      </c>
      <c r="G82" s="140"/>
      <c r="H82" s="140">
        <v>4682</v>
      </c>
      <c r="I82" s="140">
        <v>2880</v>
      </c>
      <c r="J82" s="140"/>
      <c r="K82" s="140">
        <v>150</v>
      </c>
      <c r="L82" s="140"/>
      <c r="M82" s="140"/>
      <c r="N82" s="140"/>
      <c r="O82" s="140"/>
      <c r="P82" s="140"/>
    </row>
    <row r="83" spans="1:16" ht="30" customHeight="1">
      <c r="A83" s="141" t="s">
        <v>732</v>
      </c>
      <c r="B83" s="135">
        <f t="shared" si="10"/>
        <v>2845</v>
      </c>
      <c r="C83" s="136"/>
      <c r="D83" s="136"/>
      <c r="E83" s="136"/>
      <c r="F83" s="140">
        <f t="shared" si="11" ref="F83:F100">SUM(G83:K83)</f>
        <v>2845</v>
      </c>
      <c r="G83" s="140"/>
      <c r="H83" s="140">
        <v>2245</v>
      </c>
      <c r="I83" s="140">
        <v>300</v>
      </c>
      <c r="J83" s="140"/>
      <c r="K83" s="140">
        <v>300</v>
      </c>
      <c r="L83" s="140"/>
      <c r="M83" s="140"/>
      <c r="N83" s="140"/>
      <c r="O83" s="140"/>
      <c r="P83" s="140"/>
    </row>
    <row r="84" spans="1:16" ht="30" customHeight="1">
      <c r="A84" s="141" t="s">
        <v>255</v>
      </c>
      <c r="B84" s="135">
        <f>SUM(C84:F84,L84:P84)</f>
        <v>4230</v>
      </c>
      <c r="C84" s="136"/>
      <c r="D84" s="136"/>
      <c r="E84" s="136"/>
      <c r="F84" s="140">
        <f t="shared" si="11"/>
        <v>4230</v>
      </c>
      <c r="G84" s="140"/>
      <c r="H84" s="140">
        <v>3900</v>
      </c>
      <c r="I84" s="140">
        <v>330</v>
      </c>
      <c r="J84" s="140"/>
      <c r="K84" s="140"/>
      <c r="L84" s="140"/>
      <c r="M84" s="140"/>
      <c r="N84" s="140"/>
      <c r="O84" s="140"/>
      <c r="P84" s="140"/>
    </row>
    <row r="85" spans="1:16" ht="30" customHeight="1">
      <c r="A85" s="141" t="s">
        <v>729</v>
      </c>
      <c r="B85" s="135">
        <f>SUM(C85+F85,L85:P85)</f>
        <v>4259</v>
      </c>
      <c r="C85" s="136"/>
      <c r="D85" s="136"/>
      <c r="E85" s="136"/>
      <c r="F85" s="140">
        <f t="shared" si="11"/>
        <v>4259</v>
      </c>
      <c r="G85" s="140"/>
      <c r="H85" s="140">
        <v>4139</v>
      </c>
      <c r="I85" s="140">
        <v>120</v>
      </c>
      <c r="J85" s="140"/>
      <c r="K85" s="140"/>
      <c r="L85" s="140"/>
      <c r="M85" s="140"/>
      <c r="N85" s="140"/>
      <c r="O85" s="140"/>
      <c r="P85" s="140"/>
    </row>
    <row r="86" spans="1:16" ht="30" customHeight="1">
      <c r="A86" s="141" t="s">
        <v>247</v>
      </c>
      <c r="B86" s="135">
        <f>SUM(C86:F86,L86:P86)</f>
        <v>3668</v>
      </c>
      <c r="C86" s="136"/>
      <c r="D86" s="136"/>
      <c r="E86" s="136"/>
      <c r="F86" s="140">
        <f t="shared" si="11"/>
        <v>3668</v>
      </c>
      <c r="G86" s="140"/>
      <c r="H86" s="140">
        <v>2969</v>
      </c>
      <c r="I86" s="140">
        <v>450</v>
      </c>
      <c r="J86" s="140"/>
      <c r="K86" s="140">
        <v>249</v>
      </c>
      <c r="L86" s="140"/>
      <c r="M86" s="140"/>
      <c r="N86" s="140"/>
      <c r="O86" s="140"/>
      <c r="P86" s="140"/>
    </row>
    <row r="87" spans="1:16" ht="30" customHeight="1">
      <c r="A87" s="141" t="s">
        <v>250</v>
      </c>
      <c r="B87" s="135">
        <f>SUM(C87+F87,L87:P87)</f>
        <v>6752</v>
      </c>
      <c r="C87" s="136"/>
      <c r="D87" s="136"/>
      <c r="E87" s="136"/>
      <c r="F87" s="140">
        <f t="shared" si="11"/>
        <v>6752</v>
      </c>
      <c r="G87" s="140"/>
      <c r="H87" s="140">
        <v>6587</v>
      </c>
      <c r="I87" s="140">
        <v>120</v>
      </c>
      <c r="J87" s="140"/>
      <c r="K87" s="140">
        <v>45</v>
      </c>
      <c r="L87" s="140"/>
      <c r="M87" s="140"/>
      <c r="N87" s="140"/>
      <c r="O87" s="140"/>
      <c r="P87" s="140"/>
    </row>
    <row r="88" spans="1:16" ht="30" customHeight="1">
      <c r="A88" s="141" t="s">
        <v>145</v>
      </c>
      <c r="B88" s="135">
        <f>SUM(C88+F88,L88:P88)</f>
        <v>4700</v>
      </c>
      <c r="C88" s="136"/>
      <c r="D88" s="136"/>
      <c r="E88" s="136"/>
      <c r="F88" s="140">
        <f t="shared" si="11"/>
        <v>4700</v>
      </c>
      <c r="G88" s="140"/>
      <c r="H88" s="140">
        <v>4300</v>
      </c>
      <c r="I88" s="140">
        <v>310</v>
      </c>
      <c r="J88" s="140"/>
      <c r="K88" s="140">
        <v>90</v>
      </c>
      <c r="L88" s="140"/>
      <c r="M88" s="140"/>
      <c r="N88" s="140"/>
      <c r="O88" s="140"/>
      <c r="P88" s="140"/>
    </row>
    <row r="89" spans="1:16" ht="30" customHeight="1">
      <c r="A89" s="134" t="s">
        <v>334</v>
      </c>
      <c r="B89" s="135">
        <f>SUM(C89+F89,L89:P89)</f>
        <v>8550</v>
      </c>
      <c r="C89" s="136"/>
      <c r="D89" s="136"/>
      <c r="E89" s="136"/>
      <c r="F89" s="140">
        <f t="shared" si="11"/>
        <v>8550</v>
      </c>
      <c r="G89" s="140"/>
      <c r="H89" s="140">
        <v>7350</v>
      </c>
      <c r="I89" s="140">
        <v>1200</v>
      </c>
      <c r="J89" s="140"/>
      <c r="K89" s="140"/>
      <c r="L89" s="140"/>
      <c r="M89" s="140"/>
      <c r="N89" s="140"/>
      <c r="O89" s="140"/>
      <c r="P89" s="140"/>
    </row>
    <row r="90" spans="1:16" ht="30" customHeight="1">
      <c r="A90" s="134" t="s">
        <v>727</v>
      </c>
      <c r="B90" s="135">
        <f>SUM(C90+F90,L90:P90)</f>
        <v>3002</v>
      </c>
      <c r="C90" s="136"/>
      <c r="D90" s="136"/>
      <c r="E90" s="136"/>
      <c r="F90" s="140">
        <f t="shared" si="11"/>
        <v>3002</v>
      </c>
      <c r="G90" s="140"/>
      <c r="H90" s="140">
        <v>2810</v>
      </c>
      <c r="I90" s="140">
        <v>142</v>
      </c>
      <c r="J90" s="140"/>
      <c r="K90" s="140">
        <v>50</v>
      </c>
      <c r="L90" s="140"/>
      <c r="M90" s="140"/>
      <c r="N90" s="140"/>
      <c r="O90" s="140"/>
      <c r="P90" s="140"/>
    </row>
    <row r="91" spans="1:16" ht="30" customHeight="1">
      <c r="A91" s="141" t="s">
        <v>142</v>
      </c>
      <c r="B91" s="135">
        <f>SUM(C91:F91,L91:P91)</f>
        <v>10086</v>
      </c>
      <c r="C91" s="136"/>
      <c r="D91" s="136"/>
      <c r="E91" s="136"/>
      <c r="F91" s="140">
        <f t="shared" si="11"/>
        <v>10086</v>
      </c>
      <c r="G91" s="140"/>
      <c r="H91" s="140">
        <v>9576</v>
      </c>
      <c r="I91" s="140">
        <v>410</v>
      </c>
      <c r="J91" s="140"/>
      <c r="K91" s="140">
        <v>100</v>
      </c>
      <c r="L91" s="140"/>
      <c r="M91" s="140"/>
      <c r="N91" s="140"/>
      <c r="O91" s="140"/>
      <c r="P91" s="140"/>
    </row>
    <row r="92" spans="1:16" ht="30" customHeight="1">
      <c r="A92" s="141" t="s">
        <v>144</v>
      </c>
      <c r="B92" s="135">
        <f t="shared" si="12" ref="B92:B99">SUM(C92+F92,L92:P92)</f>
        <v>1010</v>
      </c>
      <c r="C92" s="136"/>
      <c r="D92" s="136"/>
      <c r="E92" s="136"/>
      <c r="F92" s="140">
        <f t="shared" si="11"/>
        <v>1010</v>
      </c>
      <c r="G92" s="140"/>
      <c r="H92" s="140">
        <v>210</v>
      </c>
      <c r="I92" s="140">
        <v>780</v>
      </c>
      <c r="J92" s="140"/>
      <c r="K92" s="140">
        <v>20</v>
      </c>
      <c r="L92" s="140"/>
      <c r="M92" s="140"/>
      <c r="N92" s="140"/>
      <c r="O92" s="140"/>
      <c r="P92" s="140"/>
    </row>
    <row r="93" spans="1:16" ht="30" customHeight="1">
      <c r="A93" s="134" t="s">
        <v>332</v>
      </c>
      <c r="B93" s="135">
        <f t="shared" si="12"/>
        <v>8710</v>
      </c>
      <c r="C93" s="136"/>
      <c r="D93" s="136"/>
      <c r="E93" s="136"/>
      <c r="F93" s="140">
        <f t="shared" si="11"/>
        <v>8710</v>
      </c>
      <c r="G93" s="140"/>
      <c r="H93" s="140">
        <v>8010</v>
      </c>
      <c r="I93" s="140">
        <v>700</v>
      </c>
      <c r="J93" s="140"/>
      <c r="K93" s="140"/>
      <c r="L93" s="140"/>
      <c r="M93" s="140"/>
      <c r="N93" s="140"/>
      <c r="O93" s="140"/>
      <c r="P93" s="140"/>
    </row>
    <row r="94" spans="1:16" ht="30" customHeight="1">
      <c r="A94" s="141" t="s">
        <v>257</v>
      </c>
      <c r="B94" s="135">
        <f t="shared" si="12"/>
        <v>10656</v>
      </c>
      <c r="C94" s="136"/>
      <c r="D94" s="136"/>
      <c r="E94" s="136"/>
      <c r="F94" s="140">
        <f t="shared" si="11"/>
        <v>10656</v>
      </c>
      <c r="G94" s="140"/>
      <c r="H94" s="140">
        <v>10305</v>
      </c>
      <c r="I94" s="140">
        <v>226</v>
      </c>
      <c r="J94" s="140"/>
      <c r="K94" s="140">
        <v>125</v>
      </c>
      <c r="L94" s="140"/>
      <c r="M94" s="140"/>
      <c r="N94" s="140"/>
      <c r="O94" s="140"/>
      <c r="P94" s="140"/>
    </row>
    <row r="95" spans="1:16" ht="30" customHeight="1">
      <c r="A95" s="141" t="s">
        <v>143</v>
      </c>
      <c r="B95" s="135">
        <f t="shared" si="12"/>
        <v>720</v>
      </c>
      <c r="C95" s="136"/>
      <c r="D95" s="136"/>
      <c r="E95" s="136"/>
      <c r="F95" s="140">
        <f t="shared" si="11"/>
        <v>720</v>
      </c>
      <c r="G95" s="140"/>
      <c r="H95" s="140">
        <v>500</v>
      </c>
      <c r="I95" s="140">
        <v>200</v>
      </c>
      <c r="J95" s="140"/>
      <c r="K95" s="140">
        <v>20</v>
      </c>
      <c r="L95" s="140"/>
      <c r="M95" s="140"/>
      <c r="N95" s="140"/>
      <c r="O95" s="140"/>
      <c r="P95" s="140"/>
    </row>
    <row r="96" spans="1:16" ht="30" customHeight="1">
      <c r="A96" s="141" t="s">
        <v>146</v>
      </c>
      <c r="B96" s="135">
        <f t="shared" si="12"/>
        <v>3508</v>
      </c>
      <c r="C96" s="136"/>
      <c r="D96" s="136"/>
      <c r="E96" s="136"/>
      <c r="F96" s="140">
        <f t="shared" si="11"/>
        <v>3508</v>
      </c>
      <c r="G96" s="140"/>
      <c r="H96" s="140">
        <v>2548</v>
      </c>
      <c r="I96" s="140">
        <v>840</v>
      </c>
      <c r="J96" s="140"/>
      <c r="K96" s="140">
        <v>120</v>
      </c>
      <c r="L96" s="140"/>
      <c r="M96" s="140"/>
      <c r="N96" s="140"/>
      <c r="O96" s="140"/>
      <c r="P96" s="140"/>
    </row>
    <row r="97" spans="1:16" ht="45" customHeight="1">
      <c r="A97" s="141" t="s">
        <v>216</v>
      </c>
      <c r="B97" s="135">
        <f t="shared" si="12"/>
        <v>18269</v>
      </c>
      <c r="C97" s="136"/>
      <c r="D97" s="136"/>
      <c r="E97" s="136"/>
      <c r="F97" s="140">
        <f t="shared" si="11"/>
        <v>18269</v>
      </c>
      <c r="G97" s="140"/>
      <c r="H97" s="140">
        <v>16267</v>
      </c>
      <c r="I97" s="140">
        <v>1762</v>
      </c>
      <c r="J97" s="140"/>
      <c r="K97" s="140">
        <v>240</v>
      </c>
      <c r="L97" s="140"/>
      <c r="M97" s="140"/>
      <c r="N97" s="140"/>
      <c r="O97" s="140"/>
      <c r="P97" s="140"/>
    </row>
    <row r="98" spans="1:16" ht="30" customHeight="1">
      <c r="A98" s="141" t="s">
        <v>730</v>
      </c>
      <c r="B98" s="135">
        <f t="shared" si="12"/>
        <v>6665</v>
      </c>
      <c r="C98" s="136"/>
      <c r="D98" s="136"/>
      <c r="E98" s="136"/>
      <c r="F98" s="140">
        <f t="shared" si="11"/>
        <v>6665</v>
      </c>
      <c r="G98" s="140"/>
      <c r="H98" s="140">
        <v>6315</v>
      </c>
      <c r="I98" s="140"/>
      <c r="J98" s="140"/>
      <c r="K98" s="140">
        <v>350</v>
      </c>
      <c r="L98" s="140"/>
      <c r="M98" s="140"/>
      <c r="N98" s="140"/>
      <c r="O98" s="140"/>
      <c r="P98" s="140"/>
    </row>
    <row r="99" spans="1:16" ht="30" customHeight="1">
      <c r="A99" s="141" t="s">
        <v>147</v>
      </c>
      <c r="B99" s="135">
        <f t="shared" si="12"/>
        <v>8361</v>
      </c>
      <c r="C99" s="136"/>
      <c r="D99" s="136"/>
      <c r="E99" s="136"/>
      <c r="F99" s="140">
        <f t="shared" si="11"/>
        <v>8361</v>
      </c>
      <c r="G99" s="140"/>
      <c r="H99" s="140">
        <v>6994</v>
      </c>
      <c r="I99" s="140">
        <v>821</v>
      </c>
      <c r="J99" s="140"/>
      <c r="K99" s="140">
        <v>546</v>
      </c>
      <c r="L99" s="140"/>
      <c r="M99" s="140"/>
      <c r="N99" s="140"/>
      <c r="O99" s="140"/>
      <c r="P99" s="140"/>
    </row>
    <row r="100" spans="1:16" ht="54.75" customHeight="1">
      <c r="A100" s="141" t="s">
        <v>141</v>
      </c>
      <c r="B100" s="135">
        <f>SUM(C100:F100,L100:P100)</f>
        <v>3510</v>
      </c>
      <c r="C100" s="136"/>
      <c r="D100" s="136"/>
      <c r="E100" s="136"/>
      <c r="F100" s="140">
        <f t="shared" si="11"/>
        <v>3510</v>
      </c>
      <c r="G100" s="140"/>
      <c r="H100" s="140">
        <v>3510</v>
      </c>
      <c r="I100" s="140"/>
      <c r="J100" s="140"/>
      <c r="K100" s="140"/>
      <c r="L100" s="140"/>
      <c r="M100" s="140"/>
      <c r="N100" s="140"/>
      <c r="O100" s="140"/>
      <c r="P100" s="140"/>
    </row>
    <row r="101" spans="1:16" ht="15" customHeight="1">
      <c r="A101" s="141" t="s">
        <v>19</v>
      </c>
      <c r="B101" s="135">
        <f>SUM(C101+F101,L101:P101)</f>
        <v>119842</v>
      </c>
      <c r="C101" s="136"/>
      <c r="D101" s="136"/>
      <c r="E101" s="136"/>
      <c r="F101" s="140">
        <f>SUM(G101:K101)</f>
        <v>119842</v>
      </c>
      <c r="G101" s="140"/>
      <c r="H101" s="140">
        <v>119842</v>
      </c>
      <c r="I101" s="140"/>
      <c r="J101" s="140"/>
      <c r="K101" s="140"/>
      <c r="L101" s="140"/>
      <c r="M101" s="140"/>
      <c r="N101" s="140"/>
      <c r="O101" s="140"/>
      <c r="P101" s="140"/>
    </row>
    <row r="102" spans="1:16" ht="15" customHeight="1">
      <c r="A102" s="141" t="s">
        <v>189</v>
      </c>
      <c r="B102" s="135">
        <f>SUM(C102+F102,L102:P102)</f>
        <v>95682</v>
      </c>
      <c r="C102" s="136"/>
      <c r="D102" s="136"/>
      <c r="E102" s="136"/>
      <c r="F102" s="140">
        <f>SUM(G102:K102)</f>
        <v>95682</v>
      </c>
      <c r="G102" s="140"/>
      <c r="H102" s="140">
        <v>90682</v>
      </c>
      <c r="I102" s="140"/>
      <c r="J102" s="140"/>
      <c r="K102" s="140">
        <v>5000</v>
      </c>
      <c r="L102" s="140"/>
      <c r="M102" s="140"/>
      <c r="N102" s="140"/>
      <c r="O102" s="140"/>
      <c r="P102" s="140"/>
    </row>
    <row r="103" spans="1:16" ht="15" customHeight="1">
      <c r="A103" s="138" t="s">
        <v>193</v>
      </c>
      <c r="B103" s="135">
        <f>SUM(C103+F103,L103:P103)</f>
        <v>58549</v>
      </c>
      <c r="C103" s="136"/>
      <c r="D103" s="136"/>
      <c r="E103" s="136"/>
      <c r="F103" s="140">
        <f>SUM(G103:K103)</f>
        <v>27549</v>
      </c>
      <c r="G103" s="140"/>
      <c r="H103" s="140">
        <v>27549</v>
      </c>
      <c r="I103" s="140"/>
      <c r="J103" s="140"/>
      <c r="K103" s="140"/>
      <c r="L103" s="140"/>
      <c r="M103" s="140"/>
      <c r="N103" s="140"/>
      <c r="O103" s="140">
        <v>31000</v>
      </c>
      <c r="P103" s="140"/>
    </row>
    <row r="104" spans="1:16" ht="30" customHeight="1">
      <c r="A104" s="138" t="s">
        <v>20</v>
      </c>
      <c r="B104" s="135">
        <f>SUM(C104+F104,L104:P104)</f>
        <v>29550</v>
      </c>
      <c r="C104" s="136">
        <f t="shared" si="13" ref="C104:C114">D104+E104</f>
        <v>24890</v>
      </c>
      <c r="D104" s="136">
        <v>20140</v>
      </c>
      <c r="E104" s="136">
        <v>4750</v>
      </c>
      <c r="F104" s="140">
        <f t="shared" si="14" ref="F104:F119">SUM(G104:K104)</f>
        <v>4660</v>
      </c>
      <c r="G104" s="140"/>
      <c r="H104" s="140">
        <v>2290</v>
      </c>
      <c r="I104" s="140">
        <v>2370</v>
      </c>
      <c r="J104" s="140"/>
      <c r="K104" s="140"/>
      <c r="L104" s="140"/>
      <c r="M104" s="140"/>
      <c r="N104" s="140"/>
      <c r="O104" s="140"/>
      <c r="P104" s="140"/>
    </row>
    <row r="105" spans="1:16" ht="30" customHeight="1">
      <c r="A105" s="138" t="s">
        <v>287</v>
      </c>
      <c r="B105" s="135">
        <f>SUM(C105+F105,L105:P105)</f>
        <v>75324</v>
      </c>
      <c r="C105" s="136">
        <f t="shared" si="13"/>
        <v>44659</v>
      </c>
      <c r="D105" s="136">
        <v>36877</v>
      </c>
      <c r="E105" s="136">
        <v>7782</v>
      </c>
      <c r="F105" s="140">
        <f t="shared" si="14"/>
        <v>30665</v>
      </c>
      <c r="G105" s="140"/>
      <c r="H105" s="140">
        <v>7625</v>
      </c>
      <c r="I105" s="140">
        <v>22580</v>
      </c>
      <c r="J105" s="140"/>
      <c r="K105" s="140">
        <v>460</v>
      </c>
      <c r="L105" s="140"/>
      <c r="M105" s="140"/>
      <c r="N105" s="140"/>
      <c r="O105" s="140"/>
      <c r="P105" s="140"/>
    </row>
    <row r="106" spans="1:16" ht="30" customHeight="1">
      <c r="A106" s="138" t="s">
        <v>21</v>
      </c>
      <c r="B106" s="135">
        <f>C106+F106+L106+M106+N106+O106+P106</f>
        <v>29715</v>
      </c>
      <c r="C106" s="136">
        <f t="shared" si="13"/>
        <v>25966</v>
      </c>
      <c r="D106" s="136">
        <v>21010</v>
      </c>
      <c r="E106" s="136">
        <v>4956</v>
      </c>
      <c r="F106" s="140">
        <f t="shared" si="14"/>
        <v>3749</v>
      </c>
      <c r="G106" s="140"/>
      <c r="H106" s="140">
        <v>1629</v>
      </c>
      <c r="I106" s="140">
        <v>1470</v>
      </c>
      <c r="J106" s="140"/>
      <c r="K106" s="140">
        <v>650</v>
      </c>
      <c r="L106" s="140"/>
      <c r="M106" s="140"/>
      <c r="N106" s="140"/>
      <c r="O106" s="140"/>
      <c r="P106" s="140"/>
    </row>
    <row r="107" spans="1:16" ht="30" customHeight="1">
      <c r="A107" s="138" t="s">
        <v>22</v>
      </c>
      <c r="B107" s="135">
        <f t="shared" si="15" ref="B107:B142">SUM(C107+F107,L107:P107)</f>
        <v>61855</v>
      </c>
      <c r="C107" s="136">
        <f t="shared" si="13"/>
        <v>37861</v>
      </c>
      <c r="D107" s="136">
        <v>30634</v>
      </c>
      <c r="E107" s="136">
        <v>7227</v>
      </c>
      <c r="F107" s="140">
        <f t="shared" si="14"/>
        <v>23994</v>
      </c>
      <c r="G107" s="140"/>
      <c r="H107" s="140">
        <v>19124</v>
      </c>
      <c r="I107" s="140">
        <v>4870</v>
      </c>
      <c r="J107" s="140"/>
      <c r="K107" s="140"/>
      <c r="L107" s="140"/>
      <c r="M107" s="140"/>
      <c r="N107" s="140"/>
      <c r="O107" s="140"/>
      <c r="P107" s="140"/>
    </row>
    <row r="108" spans="1:16" ht="30" customHeight="1">
      <c r="A108" s="138" t="s">
        <v>23</v>
      </c>
      <c r="B108" s="135">
        <f t="shared" si="15"/>
        <v>30032</v>
      </c>
      <c r="C108" s="142">
        <f t="shared" si="13"/>
        <v>14868</v>
      </c>
      <c r="D108" s="136">
        <v>12030</v>
      </c>
      <c r="E108" s="136">
        <v>2838</v>
      </c>
      <c r="F108" s="140">
        <f t="shared" si="14"/>
        <v>15164</v>
      </c>
      <c r="G108" s="140"/>
      <c r="H108" s="140">
        <v>9550</v>
      </c>
      <c r="I108" s="140">
        <v>5364</v>
      </c>
      <c r="J108" s="140"/>
      <c r="K108" s="140">
        <v>250</v>
      </c>
      <c r="L108" s="140"/>
      <c r="M108" s="140"/>
      <c r="N108" s="140"/>
      <c r="O108" s="140"/>
      <c r="P108" s="140"/>
    </row>
    <row r="109" spans="1:16" ht="30" customHeight="1">
      <c r="A109" s="138" t="s">
        <v>24</v>
      </c>
      <c r="B109" s="135">
        <f t="shared" si="15"/>
        <v>74396</v>
      </c>
      <c r="C109" s="142">
        <f t="shared" si="13"/>
        <v>62126</v>
      </c>
      <c r="D109" s="136">
        <v>50187</v>
      </c>
      <c r="E109" s="136">
        <v>11939</v>
      </c>
      <c r="F109" s="140">
        <f t="shared" si="14"/>
        <v>12270</v>
      </c>
      <c r="G109" s="140"/>
      <c r="H109" s="140">
        <v>6471</v>
      </c>
      <c r="I109" s="140">
        <v>5310</v>
      </c>
      <c r="J109" s="140"/>
      <c r="K109" s="140">
        <v>489</v>
      </c>
      <c r="L109" s="140"/>
      <c r="M109" s="140"/>
      <c r="N109" s="140"/>
      <c r="O109" s="140"/>
      <c r="P109" s="140"/>
    </row>
    <row r="110" spans="1:16" ht="15" customHeight="1">
      <c r="A110" s="138" t="s">
        <v>123</v>
      </c>
      <c r="B110" s="135">
        <f t="shared" si="15"/>
        <v>94432</v>
      </c>
      <c r="C110" s="142">
        <f t="shared" si="13"/>
        <v>42932</v>
      </c>
      <c r="D110" s="136">
        <v>34738</v>
      </c>
      <c r="E110" s="136">
        <v>8194</v>
      </c>
      <c r="F110" s="140">
        <f t="shared" si="14"/>
        <v>51500</v>
      </c>
      <c r="G110" s="140"/>
      <c r="H110" s="140">
        <v>50070</v>
      </c>
      <c r="I110" s="140">
        <v>1430</v>
      </c>
      <c r="J110" s="140"/>
      <c r="K110" s="140"/>
      <c r="L110" s="140"/>
      <c r="M110" s="140"/>
      <c r="N110" s="140"/>
      <c r="O110" s="140"/>
      <c r="P110" s="140"/>
    </row>
    <row r="111" spans="1:16" ht="30" customHeight="1">
      <c r="A111" s="143" t="s">
        <v>149</v>
      </c>
      <c r="B111" s="135">
        <f t="shared" si="15"/>
        <v>88259</v>
      </c>
      <c r="C111" s="144">
        <f t="shared" si="13"/>
        <v>64273</v>
      </c>
      <c r="D111" s="145">
        <v>52390</v>
      </c>
      <c r="E111" s="145">
        <v>11883</v>
      </c>
      <c r="F111" s="140">
        <f t="shared" si="14"/>
        <v>23986</v>
      </c>
      <c r="G111" s="140"/>
      <c r="H111" s="140">
        <v>9180</v>
      </c>
      <c r="I111" s="140">
        <v>14460</v>
      </c>
      <c r="J111" s="140"/>
      <c r="K111" s="140">
        <v>346</v>
      </c>
      <c r="L111" s="140"/>
      <c r="M111" s="140"/>
      <c r="N111" s="178"/>
      <c r="O111" s="140"/>
      <c r="P111" s="140"/>
    </row>
    <row r="112" spans="1:16" ht="30" customHeight="1">
      <c r="A112" s="138" t="s">
        <v>25</v>
      </c>
      <c r="B112" s="135">
        <f t="shared" si="15"/>
        <v>57160</v>
      </c>
      <c r="C112" s="142">
        <f t="shared" si="13"/>
        <v>41582</v>
      </c>
      <c r="D112" s="136">
        <v>33645</v>
      </c>
      <c r="E112" s="136">
        <v>7937</v>
      </c>
      <c r="F112" s="140">
        <f t="shared" si="14"/>
        <v>15578</v>
      </c>
      <c r="G112" s="140"/>
      <c r="H112" s="140">
        <v>4606</v>
      </c>
      <c r="I112" s="140">
        <v>10875</v>
      </c>
      <c r="J112" s="140"/>
      <c r="K112" s="140">
        <v>97</v>
      </c>
      <c r="L112" s="140"/>
      <c r="M112" s="140"/>
      <c r="N112" s="140"/>
      <c r="O112" s="140"/>
      <c r="P112" s="140"/>
    </row>
    <row r="113" spans="1:16" ht="15" customHeight="1">
      <c r="A113" s="138" t="s">
        <v>103</v>
      </c>
      <c r="B113" s="135">
        <f t="shared" si="15"/>
        <v>10119</v>
      </c>
      <c r="C113" s="142">
        <f t="shared" si="13"/>
        <v>7009</v>
      </c>
      <c r="D113" s="136">
        <f>4900+771</f>
        <v>5671</v>
      </c>
      <c r="E113" s="136">
        <v>1338</v>
      </c>
      <c r="F113" s="140">
        <f t="shared" si="14"/>
        <v>3110</v>
      </c>
      <c r="G113" s="140"/>
      <c r="H113" s="140">
        <v>2415</v>
      </c>
      <c r="I113" s="140">
        <v>630</v>
      </c>
      <c r="J113" s="140"/>
      <c r="K113" s="140">
        <v>65</v>
      </c>
      <c r="L113" s="140"/>
      <c r="M113" s="140"/>
      <c r="N113" s="140"/>
      <c r="O113" s="140"/>
      <c r="P113" s="140"/>
    </row>
    <row r="114" spans="1:16" ht="30" customHeight="1">
      <c r="A114" s="143" t="s">
        <v>150</v>
      </c>
      <c r="B114" s="135">
        <f t="shared" si="15"/>
        <v>158757</v>
      </c>
      <c r="C114" s="144">
        <f t="shared" si="13"/>
        <v>123357</v>
      </c>
      <c r="D114" s="145">
        <v>100065</v>
      </c>
      <c r="E114" s="145">
        <v>23292</v>
      </c>
      <c r="F114" s="140">
        <f t="shared" si="14"/>
        <v>35400</v>
      </c>
      <c r="G114" s="140"/>
      <c r="H114" s="140">
        <v>14050</v>
      </c>
      <c r="I114" s="140">
        <v>21050</v>
      </c>
      <c r="J114" s="140"/>
      <c r="K114" s="140">
        <v>300</v>
      </c>
      <c r="L114" s="140"/>
      <c r="M114" s="140"/>
      <c r="N114" s="178"/>
      <c r="O114" s="140"/>
      <c r="P114" s="140"/>
    </row>
    <row r="115" spans="1:16" ht="15" customHeight="1">
      <c r="A115" s="138" t="s">
        <v>126</v>
      </c>
      <c r="B115" s="135">
        <f t="shared" si="15"/>
        <v>7345</v>
      </c>
      <c r="C115" s="142">
        <f>D115+E115</f>
        <v>4701</v>
      </c>
      <c r="D115" s="136">
        <v>3804</v>
      </c>
      <c r="E115" s="136">
        <v>897</v>
      </c>
      <c r="F115" s="140">
        <f t="shared" si="14"/>
        <v>2644</v>
      </c>
      <c r="G115" s="140"/>
      <c r="H115" s="140">
        <v>2644</v>
      </c>
      <c r="I115" s="140"/>
      <c r="J115" s="140"/>
      <c r="K115" s="140"/>
      <c r="L115" s="140"/>
      <c r="M115" s="140"/>
      <c r="N115" s="140"/>
      <c r="O115" s="140"/>
      <c r="P115" s="140"/>
    </row>
    <row r="116" spans="1:16" ht="30" customHeight="1">
      <c r="A116" s="138" t="s">
        <v>26</v>
      </c>
      <c r="B116" s="135">
        <f t="shared" si="15"/>
        <v>117552</v>
      </c>
      <c r="C116" s="142">
        <f>D116+E116</f>
        <v>84306</v>
      </c>
      <c r="D116" s="136">
        <v>74223</v>
      </c>
      <c r="E116" s="136">
        <v>10083</v>
      </c>
      <c r="F116" s="140">
        <f t="shared" si="14"/>
        <v>33246</v>
      </c>
      <c r="G116" s="140"/>
      <c r="H116" s="140">
        <v>21576</v>
      </c>
      <c r="I116" s="140">
        <v>11460</v>
      </c>
      <c r="J116" s="140"/>
      <c r="K116" s="140">
        <v>210</v>
      </c>
      <c r="L116" s="140"/>
      <c r="M116" s="140"/>
      <c r="N116" s="140">
        <v>0</v>
      </c>
      <c r="O116" s="140"/>
      <c r="P116" s="140"/>
    </row>
    <row r="117" spans="1:16" ht="30" customHeight="1">
      <c r="A117" s="138" t="s">
        <v>27</v>
      </c>
      <c r="B117" s="135">
        <f t="shared" si="15"/>
        <v>45339</v>
      </c>
      <c r="C117" s="142">
        <f>D117+E117</f>
        <v>38856</v>
      </c>
      <c r="D117" s="136">
        <v>31440</v>
      </c>
      <c r="E117" s="136">
        <v>7416</v>
      </c>
      <c r="F117" s="140">
        <f t="shared" si="14"/>
        <v>6483</v>
      </c>
      <c r="G117" s="140"/>
      <c r="H117" s="140">
        <v>3693</v>
      </c>
      <c r="I117" s="140">
        <v>2550</v>
      </c>
      <c r="J117" s="140"/>
      <c r="K117" s="140">
        <v>240</v>
      </c>
      <c r="L117" s="140"/>
      <c r="M117" s="140"/>
      <c r="N117" s="140"/>
      <c r="O117" s="140"/>
      <c r="P117" s="140"/>
    </row>
    <row r="118" spans="1:16" ht="30" customHeight="1">
      <c r="A118" s="138" t="s">
        <v>198</v>
      </c>
      <c r="B118" s="135">
        <f t="shared" si="15"/>
        <v>42660</v>
      </c>
      <c r="C118" s="142"/>
      <c r="D118" s="136"/>
      <c r="E118" s="136"/>
      <c r="F118" s="140">
        <f t="shared" si="14"/>
        <v>4300</v>
      </c>
      <c r="G118" s="140"/>
      <c r="H118" s="140">
        <v>1422</v>
      </c>
      <c r="I118" s="140">
        <v>2798</v>
      </c>
      <c r="J118" s="140"/>
      <c r="K118" s="140">
        <v>80</v>
      </c>
      <c r="L118" s="140"/>
      <c r="M118" s="140"/>
      <c r="N118" s="140">
        <v>38360</v>
      </c>
      <c r="O118" s="140"/>
      <c r="P118" s="140"/>
    </row>
    <row r="119" spans="1:16" ht="27" customHeight="1">
      <c r="A119" s="138" t="s">
        <v>28</v>
      </c>
      <c r="B119" s="135">
        <f t="shared" si="15"/>
        <v>102881</v>
      </c>
      <c r="C119" s="142">
        <f>D119+E119</f>
        <v>81138</v>
      </c>
      <c r="D119" s="136">
        <v>65570</v>
      </c>
      <c r="E119" s="136">
        <v>15568</v>
      </c>
      <c r="F119" s="140">
        <f t="shared" si="14"/>
        <v>19243</v>
      </c>
      <c r="G119" s="140"/>
      <c r="H119" s="140">
        <v>5054</v>
      </c>
      <c r="I119" s="140">
        <v>13989</v>
      </c>
      <c r="J119" s="140"/>
      <c r="K119" s="140">
        <v>200</v>
      </c>
      <c r="L119" s="140"/>
      <c r="M119" s="140"/>
      <c r="N119" s="140">
        <v>2500</v>
      </c>
      <c r="O119" s="140"/>
      <c r="P119" s="140"/>
    </row>
    <row r="120" spans="1:16" ht="15" customHeight="1">
      <c r="A120" s="138" t="s">
        <v>29</v>
      </c>
      <c r="B120" s="135">
        <f t="shared" si="15"/>
        <v>1764345</v>
      </c>
      <c r="C120" s="136">
        <f>D120+E120</f>
        <v>752614</v>
      </c>
      <c r="D120" s="136">
        <f>59537+114472+79247+119130+196389+18550</f>
        <v>587325</v>
      </c>
      <c r="E120" s="136">
        <f>17066+32425+22202+34840+53441+5315</f>
        <v>165289</v>
      </c>
      <c r="F120" s="140">
        <f>SUM(G120:K120)</f>
        <v>977631</v>
      </c>
      <c r="G120" s="140">
        <f>8+200</f>
        <v>208</v>
      </c>
      <c r="H120" s="140">
        <v>585118</v>
      </c>
      <c r="I120" s="140">
        <f>13450+14990+11710+10425+67535+251</f>
        <v>118361</v>
      </c>
      <c r="J120" s="140"/>
      <c r="K120" s="140">
        <f>52500+3144+50400+39200+128200+500</f>
        <v>273944</v>
      </c>
      <c r="L120" s="140"/>
      <c r="M120" s="140"/>
      <c r="N120" s="140">
        <v>34100</v>
      </c>
      <c r="O120" s="140"/>
      <c r="P120" s="140"/>
    </row>
    <row r="121" spans="1:16" ht="30" customHeight="1">
      <c r="A121" s="138" t="s">
        <v>182</v>
      </c>
      <c r="B121" s="135">
        <f t="shared" si="15"/>
        <v>82807.25</v>
      </c>
      <c r="C121" s="136"/>
      <c r="D121" s="136"/>
      <c r="E121" s="136"/>
      <c r="F121" s="140">
        <f>SUM(G121:K121)</f>
        <v>82807.25</v>
      </c>
      <c r="G121" s="140"/>
      <c r="H121" s="140">
        <f>30620+H122</f>
        <v>80307.25</v>
      </c>
      <c r="I121" s="140">
        <v>2500</v>
      </c>
      <c r="J121" s="140"/>
      <c r="K121" s="140"/>
      <c r="L121" s="140"/>
      <c r="M121" s="140"/>
      <c r="N121" s="140"/>
      <c r="O121" s="140"/>
      <c r="P121" s="140"/>
    </row>
    <row r="122" spans="1:16" ht="23.25" customHeight="1">
      <c r="A122" s="226" t="s">
        <v>836</v>
      </c>
      <c r="B122" s="135">
        <f t="shared" si="15"/>
        <v>49687.25</v>
      </c>
      <c r="C122" s="136"/>
      <c r="D122" s="136"/>
      <c r="E122" s="136"/>
      <c r="F122" s="140">
        <f>SUM(G122:K122)</f>
        <v>49687.25</v>
      </c>
      <c r="G122" s="140"/>
      <c r="H122" s="140">
        <v>49687.25</v>
      </c>
      <c r="I122" s="140"/>
      <c r="J122" s="140"/>
      <c r="K122" s="140"/>
      <c r="L122" s="140"/>
      <c r="M122" s="140"/>
      <c r="N122" s="140"/>
      <c r="O122" s="140"/>
      <c r="P122" s="140"/>
    </row>
    <row r="123" spans="1:16" ht="30" customHeight="1">
      <c r="A123" s="138" t="s">
        <v>121</v>
      </c>
      <c r="B123" s="135">
        <f t="shared" si="15"/>
        <v>7500</v>
      </c>
      <c r="C123" s="136"/>
      <c r="D123" s="136"/>
      <c r="E123" s="136"/>
      <c r="F123" s="140">
        <f t="shared" si="16" ref="F123:F155">SUM(G123:K123)</f>
        <v>7500</v>
      </c>
      <c r="G123" s="140"/>
      <c r="H123" s="140">
        <v>7500</v>
      </c>
      <c r="I123" s="140"/>
      <c r="J123" s="140"/>
      <c r="K123" s="140"/>
      <c r="L123" s="140"/>
      <c r="M123" s="140"/>
      <c r="N123" s="140"/>
      <c r="O123" s="140"/>
      <c r="P123" s="140"/>
    </row>
    <row r="124" spans="1:16" ht="30" customHeight="1">
      <c r="A124" s="138" t="s">
        <v>127</v>
      </c>
      <c r="B124" s="135">
        <f t="shared" si="15"/>
        <v>1000</v>
      </c>
      <c r="C124" s="136"/>
      <c r="D124" s="136"/>
      <c r="E124" s="136"/>
      <c r="F124" s="140">
        <f t="shared" si="16"/>
        <v>1000</v>
      </c>
      <c r="G124" s="140"/>
      <c r="H124" s="140">
        <v>500</v>
      </c>
      <c r="I124" s="140">
        <v>500</v>
      </c>
      <c r="J124" s="140"/>
      <c r="K124" s="140"/>
      <c r="L124" s="140"/>
      <c r="M124" s="140"/>
      <c r="N124" s="140"/>
      <c r="O124" s="140"/>
      <c r="P124" s="140"/>
    </row>
    <row r="125" spans="1:16" ht="30" customHeight="1">
      <c r="A125" s="138" t="s">
        <v>122</v>
      </c>
      <c r="B125" s="135">
        <f t="shared" si="15"/>
        <v>9827</v>
      </c>
      <c r="C125" s="136"/>
      <c r="D125" s="136"/>
      <c r="E125" s="136"/>
      <c r="F125" s="140">
        <f t="shared" si="16"/>
        <v>9827</v>
      </c>
      <c r="G125" s="140"/>
      <c r="H125" s="140">
        <v>3736</v>
      </c>
      <c r="I125" s="140">
        <v>6091</v>
      </c>
      <c r="J125" s="140"/>
      <c r="K125" s="140"/>
      <c r="L125" s="140"/>
      <c r="M125" s="140"/>
      <c r="N125" s="140"/>
      <c r="O125" s="140"/>
      <c r="P125" s="140"/>
    </row>
    <row r="126" spans="1:16" ht="30" customHeight="1">
      <c r="A126" s="141" t="s">
        <v>124</v>
      </c>
      <c r="B126" s="135">
        <f t="shared" si="15"/>
        <v>3200</v>
      </c>
      <c r="C126" s="136"/>
      <c r="D126" s="136"/>
      <c r="E126" s="136"/>
      <c r="F126" s="140">
        <f t="shared" si="16"/>
        <v>3200</v>
      </c>
      <c r="G126" s="140"/>
      <c r="H126" s="140">
        <v>1179</v>
      </c>
      <c r="I126" s="140">
        <v>2021</v>
      </c>
      <c r="J126" s="140"/>
      <c r="K126" s="140"/>
      <c r="L126" s="140"/>
      <c r="M126" s="140"/>
      <c r="N126" s="140"/>
      <c r="O126" s="140"/>
      <c r="P126" s="140"/>
    </row>
    <row r="127" spans="1:16" ht="24" customHeight="1">
      <c r="A127" s="141" t="s">
        <v>751</v>
      </c>
      <c r="B127" s="135">
        <f t="shared" si="15"/>
        <v>367431</v>
      </c>
      <c r="C127" s="136">
        <f t="shared" si="17" ref="C127:C141">D127+E127</f>
        <v>258155</v>
      </c>
      <c r="D127" s="136">
        <v>208880</v>
      </c>
      <c r="E127" s="136">
        <v>49275</v>
      </c>
      <c r="F127" s="140">
        <f>SUM(G127:K127)</f>
        <v>105276</v>
      </c>
      <c r="G127" s="140"/>
      <c r="H127" s="140">
        <v>53730</v>
      </c>
      <c r="I127" s="140">
        <v>51546</v>
      </c>
      <c r="J127" s="140"/>
      <c r="K127" s="140"/>
      <c r="L127" s="140"/>
      <c r="M127" s="140"/>
      <c r="N127" s="140">
        <v>4000</v>
      </c>
      <c r="O127" s="140"/>
      <c r="P127" s="140"/>
    </row>
    <row r="128" spans="1:16" ht="30" customHeight="1">
      <c r="A128" s="138" t="s">
        <v>214</v>
      </c>
      <c r="B128" s="135">
        <f t="shared" si="15"/>
        <v>118153</v>
      </c>
      <c r="C128" s="136">
        <f t="shared" si="17"/>
        <v>90240</v>
      </c>
      <c r="D128" s="136">
        <v>74057</v>
      </c>
      <c r="E128" s="136">
        <v>16183</v>
      </c>
      <c r="F128" s="140">
        <f t="shared" si="16"/>
        <v>27913</v>
      </c>
      <c r="G128" s="140"/>
      <c r="H128" s="140">
        <v>8421</v>
      </c>
      <c r="I128" s="140">
        <v>19142</v>
      </c>
      <c r="J128" s="140"/>
      <c r="K128" s="140">
        <v>350</v>
      </c>
      <c r="L128" s="140"/>
      <c r="M128" s="140"/>
      <c r="N128" s="140"/>
      <c r="O128" s="140"/>
      <c r="P128" s="140"/>
    </row>
    <row r="129" spans="1:16" ht="30" customHeight="1">
      <c r="A129" s="138" t="s">
        <v>107</v>
      </c>
      <c r="B129" s="135">
        <f t="shared" si="15"/>
        <v>16115</v>
      </c>
      <c r="C129" s="136">
        <f t="shared" si="17"/>
        <v>14156</v>
      </c>
      <c r="D129" s="136">
        <v>11574</v>
      </c>
      <c r="E129" s="136">
        <v>2582</v>
      </c>
      <c r="F129" s="140">
        <f t="shared" si="16"/>
        <v>1959</v>
      </c>
      <c r="G129" s="140"/>
      <c r="H129" s="140">
        <v>787</v>
      </c>
      <c r="I129" s="140">
        <v>1172</v>
      </c>
      <c r="J129" s="140"/>
      <c r="K129" s="140"/>
      <c r="L129" s="140"/>
      <c r="M129" s="140"/>
      <c r="N129" s="140"/>
      <c r="O129" s="140"/>
      <c r="P129" s="140"/>
    </row>
    <row r="130" spans="1:16" ht="30" customHeight="1">
      <c r="A130" s="138" t="s">
        <v>102</v>
      </c>
      <c r="B130" s="135">
        <f t="shared" si="15"/>
        <v>16093</v>
      </c>
      <c r="C130" s="136">
        <f t="shared" si="17"/>
        <v>12977</v>
      </c>
      <c r="D130" s="136">
        <v>10500</v>
      </c>
      <c r="E130" s="136">
        <v>2477</v>
      </c>
      <c r="F130" s="140">
        <f t="shared" si="16"/>
        <v>3116</v>
      </c>
      <c r="G130" s="140"/>
      <c r="H130" s="140">
        <v>570</v>
      </c>
      <c r="I130" s="140">
        <v>2546</v>
      </c>
      <c r="J130" s="140"/>
      <c r="K130" s="140"/>
      <c r="L130" s="140"/>
      <c r="M130" s="140"/>
      <c r="N130" s="140"/>
      <c r="O130" s="140"/>
      <c r="P130" s="140"/>
    </row>
    <row r="131" spans="1:16" ht="30" customHeight="1">
      <c r="A131" s="138" t="s">
        <v>109</v>
      </c>
      <c r="B131" s="135">
        <f t="shared" si="15"/>
        <v>17783</v>
      </c>
      <c r="C131" s="136">
        <f t="shared" si="17"/>
        <v>13181</v>
      </c>
      <c r="D131" s="136">
        <v>10665</v>
      </c>
      <c r="E131" s="136">
        <v>2516</v>
      </c>
      <c r="F131" s="140">
        <f t="shared" si="16"/>
        <v>4602</v>
      </c>
      <c r="G131" s="140"/>
      <c r="H131" s="140">
        <v>367</v>
      </c>
      <c r="I131" s="140">
        <v>4235</v>
      </c>
      <c r="J131" s="140"/>
      <c r="K131" s="140"/>
      <c r="L131" s="140"/>
      <c r="M131" s="140"/>
      <c r="N131" s="140">
        <v>0</v>
      </c>
      <c r="O131" s="140"/>
      <c r="P131" s="140"/>
    </row>
    <row r="132" spans="1:16" ht="30" customHeight="1">
      <c r="A132" s="138" t="s">
        <v>117</v>
      </c>
      <c r="B132" s="135">
        <f t="shared" si="15"/>
        <v>19011</v>
      </c>
      <c r="C132" s="136">
        <f t="shared" si="17"/>
        <v>16437</v>
      </c>
      <c r="D132" s="136">
        <v>13300</v>
      </c>
      <c r="E132" s="136">
        <v>3137</v>
      </c>
      <c r="F132" s="140">
        <f t="shared" si="16"/>
        <v>2574</v>
      </c>
      <c r="G132" s="140"/>
      <c r="H132" s="140">
        <v>700</v>
      </c>
      <c r="I132" s="140">
        <v>1874</v>
      </c>
      <c r="J132" s="140"/>
      <c r="K132" s="140"/>
      <c r="L132" s="140"/>
      <c r="M132" s="140"/>
      <c r="N132" s="140"/>
      <c r="O132" s="140"/>
      <c r="P132" s="140"/>
    </row>
    <row r="133" spans="1:16" ht="30" customHeight="1">
      <c r="A133" s="138" t="s">
        <v>119</v>
      </c>
      <c r="B133" s="135">
        <f t="shared" si="15"/>
        <v>24027</v>
      </c>
      <c r="C133" s="136">
        <f t="shared" si="17"/>
        <v>18031</v>
      </c>
      <c r="D133" s="136">
        <v>14590</v>
      </c>
      <c r="E133" s="136">
        <v>3441</v>
      </c>
      <c r="F133" s="140">
        <f t="shared" si="16"/>
        <v>5996</v>
      </c>
      <c r="G133" s="140"/>
      <c r="H133" s="140">
        <v>1550</v>
      </c>
      <c r="I133" s="140">
        <v>4446</v>
      </c>
      <c r="J133" s="140"/>
      <c r="K133" s="140"/>
      <c r="L133" s="140"/>
      <c r="M133" s="140"/>
      <c r="N133" s="140"/>
      <c r="O133" s="140"/>
      <c r="P133" s="140"/>
    </row>
    <row r="134" spans="1:16" ht="20.25" customHeight="1">
      <c r="A134" s="138" t="s">
        <v>125</v>
      </c>
      <c r="B134" s="135">
        <f t="shared" si="15"/>
        <v>207318</v>
      </c>
      <c r="C134" s="136">
        <f t="shared" si="17"/>
        <v>172361</v>
      </c>
      <c r="D134" s="136">
        <v>139462</v>
      </c>
      <c r="E134" s="136">
        <v>32899</v>
      </c>
      <c r="F134" s="140">
        <f t="shared" si="16"/>
        <v>34957</v>
      </c>
      <c r="G134" s="140"/>
      <c r="H134" s="140">
        <v>14166</v>
      </c>
      <c r="I134" s="140">
        <v>20791</v>
      </c>
      <c r="J134" s="140"/>
      <c r="K134" s="140"/>
      <c r="L134" s="140"/>
      <c r="M134" s="140"/>
      <c r="N134" s="140"/>
      <c r="O134" s="140"/>
      <c r="P134" s="140"/>
    </row>
    <row r="135" spans="1:16" ht="30" customHeight="1">
      <c r="A135" s="138" t="s">
        <v>249</v>
      </c>
      <c r="B135" s="135">
        <f t="shared" si="15"/>
        <v>67747</v>
      </c>
      <c r="C135" s="136">
        <f t="shared" si="17"/>
        <v>33448</v>
      </c>
      <c r="D135" s="136">
        <f>22680+2786+1598</f>
        <v>27064</v>
      </c>
      <c r="E135" s="136">
        <f>6384</f>
        <v>6384</v>
      </c>
      <c r="F135" s="140">
        <f t="shared" si="16"/>
        <v>34299</v>
      </c>
      <c r="G135" s="140"/>
      <c r="H135" s="140">
        <v>1541</v>
      </c>
      <c r="I135" s="140">
        <v>32758</v>
      </c>
      <c r="J135" s="140"/>
      <c r="K135" s="140"/>
      <c r="L135" s="140"/>
      <c r="M135" s="140"/>
      <c r="N135" s="140"/>
      <c r="O135" s="140"/>
      <c r="P135" s="140"/>
    </row>
    <row r="136" spans="1:16" ht="30" customHeight="1">
      <c r="A136" s="138" t="s">
        <v>114</v>
      </c>
      <c r="B136" s="135">
        <f t="shared" si="15"/>
        <v>104586</v>
      </c>
      <c r="C136" s="136">
        <f t="shared" si="17"/>
        <v>32606</v>
      </c>
      <c r="D136" s="136">
        <f>22400+3422+1542</f>
        <v>27364</v>
      </c>
      <c r="E136" s="136">
        <v>5242</v>
      </c>
      <c r="F136" s="140">
        <f t="shared" si="16"/>
        <v>71980</v>
      </c>
      <c r="G136" s="140"/>
      <c r="H136" s="140">
        <v>7774</v>
      </c>
      <c r="I136" s="140">
        <v>63406</v>
      </c>
      <c r="J136" s="140"/>
      <c r="K136" s="140">
        <v>800</v>
      </c>
      <c r="L136" s="140"/>
      <c r="M136" s="140"/>
      <c r="N136" s="140"/>
      <c r="O136" s="140"/>
      <c r="P136" s="140"/>
    </row>
    <row r="137" spans="1:16" ht="30" customHeight="1">
      <c r="A137" s="138" t="s">
        <v>111</v>
      </c>
      <c r="B137" s="135">
        <f t="shared" si="15"/>
        <v>45604</v>
      </c>
      <c r="C137" s="136">
        <f t="shared" si="17"/>
        <v>34394</v>
      </c>
      <c r="D137" s="136">
        <f>22400+3887+1542</f>
        <v>27829</v>
      </c>
      <c r="E137" s="136">
        <v>6565</v>
      </c>
      <c r="F137" s="140">
        <f t="shared" si="16"/>
        <v>11210</v>
      </c>
      <c r="G137" s="140"/>
      <c r="H137" s="140">
        <v>0</v>
      </c>
      <c r="I137" s="140">
        <v>10910</v>
      </c>
      <c r="J137" s="140"/>
      <c r="K137" s="140">
        <v>300</v>
      </c>
      <c r="L137" s="140"/>
      <c r="M137" s="140"/>
      <c r="N137" s="140"/>
      <c r="O137" s="140"/>
      <c r="P137" s="140"/>
    </row>
    <row r="138" spans="1:16" ht="30" customHeight="1">
      <c r="A138" s="138" t="s">
        <v>258</v>
      </c>
      <c r="B138" s="135">
        <f t="shared" si="15"/>
        <v>58664</v>
      </c>
      <c r="C138" s="136">
        <f t="shared" si="17"/>
        <v>34089</v>
      </c>
      <c r="D138" s="136">
        <f>22694+4888</f>
        <v>27582</v>
      </c>
      <c r="E138" s="136">
        <v>6507</v>
      </c>
      <c r="F138" s="140">
        <f t="shared" si="16"/>
        <v>24575</v>
      </c>
      <c r="G138" s="140"/>
      <c r="H138" s="140">
        <v>6325</v>
      </c>
      <c r="I138" s="140">
        <v>17620</v>
      </c>
      <c r="J138" s="140"/>
      <c r="K138" s="140">
        <v>630</v>
      </c>
      <c r="L138" s="140"/>
      <c r="M138" s="140"/>
      <c r="N138" s="140"/>
      <c r="O138" s="140"/>
      <c r="P138" s="140"/>
    </row>
    <row r="139" spans="1:16" ht="30" customHeight="1">
      <c r="A139" s="138" t="s">
        <v>116</v>
      </c>
      <c r="B139" s="135">
        <f t="shared" si="15"/>
        <v>31471</v>
      </c>
      <c r="C139" s="136">
        <f t="shared" si="17"/>
        <v>24323</v>
      </c>
      <c r="D139" s="136">
        <f>14700+3442+1542</f>
        <v>19684</v>
      </c>
      <c r="E139" s="136">
        <v>4639</v>
      </c>
      <c r="F139" s="140">
        <f t="shared" si="16"/>
        <v>7148</v>
      </c>
      <c r="G139" s="140"/>
      <c r="H139" s="140">
        <v>1795</v>
      </c>
      <c r="I139" s="140">
        <v>5103</v>
      </c>
      <c r="J139" s="140"/>
      <c r="K139" s="140">
        <v>250</v>
      </c>
      <c r="L139" s="140"/>
      <c r="M139" s="140"/>
      <c r="N139" s="140"/>
      <c r="O139" s="140"/>
      <c r="P139" s="140"/>
    </row>
    <row r="140" spans="1:16" ht="30" customHeight="1">
      <c r="A140" s="138" t="s">
        <v>104</v>
      </c>
      <c r="B140" s="135">
        <f t="shared" si="15"/>
        <v>84365</v>
      </c>
      <c r="C140" s="136">
        <f t="shared" si="17"/>
        <v>30359</v>
      </c>
      <c r="D140" s="136">
        <f>19600+3422+1542</f>
        <v>24564</v>
      </c>
      <c r="E140" s="136">
        <v>5795</v>
      </c>
      <c r="F140" s="140">
        <f t="shared" si="16"/>
        <v>54006</v>
      </c>
      <c r="G140" s="140"/>
      <c r="H140" s="140">
        <v>2854</v>
      </c>
      <c r="I140" s="140">
        <v>50702</v>
      </c>
      <c r="J140" s="140"/>
      <c r="K140" s="140">
        <v>450</v>
      </c>
      <c r="L140" s="140"/>
      <c r="M140" s="140"/>
      <c r="N140" s="140"/>
      <c r="O140" s="140"/>
      <c r="P140" s="140"/>
    </row>
    <row r="141" spans="1:16" ht="30" customHeight="1">
      <c r="A141" s="138" t="s">
        <v>106</v>
      </c>
      <c r="B141" s="135">
        <f t="shared" si="15"/>
        <v>103530</v>
      </c>
      <c r="C141" s="136">
        <f t="shared" si="17"/>
        <v>34871</v>
      </c>
      <c r="D141" s="136">
        <f>22400+3887+1928</f>
        <v>28215</v>
      </c>
      <c r="E141" s="136">
        <v>6656</v>
      </c>
      <c r="F141" s="140">
        <f t="shared" si="16"/>
        <v>68659</v>
      </c>
      <c r="G141" s="140"/>
      <c r="H141" s="140">
        <v>8024</v>
      </c>
      <c r="I141" s="140">
        <v>60035</v>
      </c>
      <c r="J141" s="140"/>
      <c r="K141" s="140">
        <v>600</v>
      </c>
      <c r="L141" s="140"/>
      <c r="M141" s="140"/>
      <c r="N141" s="140"/>
      <c r="O141" s="140"/>
      <c r="P141" s="140"/>
    </row>
    <row r="142" spans="1:16" ht="19.9" customHeight="1">
      <c r="A142" s="137" t="s">
        <v>204</v>
      </c>
      <c r="B142" s="135">
        <f t="shared" si="15"/>
        <v>2840</v>
      </c>
      <c r="C142" s="136"/>
      <c r="D142" s="136"/>
      <c r="E142" s="136"/>
      <c r="F142" s="140">
        <f t="shared" si="16"/>
        <v>2840</v>
      </c>
      <c r="G142" s="140"/>
      <c r="H142" s="140">
        <v>2300</v>
      </c>
      <c r="I142" s="140">
        <v>340</v>
      </c>
      <c r="J142" s="140"/>
      <c r="K142" s="140">
        <v>200</v>
      </c>
      <c r="L142" s="140"/>
      <c r="M142" s="140"/>
      <c r="N142" s="140"/>
      <c r="O142" s="140"/>
      <c r="P142" s="140"/>
    </row>
    <row r="143" spans="1:16" ht="15" customHeight="1">
      <c r="A143" s="137" t="s">
        <v>203</v>
      </c>
      <c r="B143" s="135">
        <f>SUM(C143:F143,L143:P143)</f>
        <v>17383</v>
      </c>
      <c r="C143" s="136"/>
      <c r="D143" s="136"/>
      <c r="E143" s="136"/>
      <c r="F143" s="140">
        <f t="shared" si="16"/>
        <v>17383</v>
      </c>
      <c r="G143" s="140"/>
      <c r="H143" s="140">
        <v>13729</v>
      </c>
      <c r="I143" s="140">
        <v>3654</v>
      </c>
      <c r="J143" s="140"/>
      <c r="K143" s="140"/>
      <c r="L143" s="140"/>
      <c r="M143" s="140"/>
      <c r="N143" s="140"/>
      <c r="O143" s="140"/>
      <c r="P143" s="140"/>
    </row>
    <row r="144" spans="1:16" ht="30" customHeight="1">
      <c r="A144" s="138" t="s">
        <v>722</v>
      </c>
      <c r="B144" s="135">
        <f>SUM(C144+F144,L144:P144)</f>
        <v>4294</v>
      </c>
      <c r="C144" s="136"/>
      <c r="D144" s="136"/>
      <c r="E144" s="136"/>
      <c r="F144" s="140">
        <f t="shared" si="16"/>
        <v>4294</v>
      </c>
      <c r="G144" s="140"/>
      <c r="H144" s="140">
        <v>4094</v>
      </c>
      <c r="I144" s="140"/>
      <c r="J144" s="140"/>
      <c r="K144" s="140">
        <v>200</v>
      </c>
      <c r="L144" s="140"/>
      <c r="M144" s="140"/>
      <c r="N144" s="140"/>
      <c r="O144" s="140"/>
      <c r="P144" s="140"/>
    </row>
    <row r="145" spans="1:16" ht="30" customHeight="1">
      <c r="A145" s="138" t="s">
        <v>256</v>
      </c>
      <c r="B145" s="135">
        <f>SUM(C145+F145,L145:P145)</f>
        <v>4649</v>
      </c>
      <c r="C145" s="136"/>
      <c r="D145" s="136"/>
      <c r="E145" s="136"/>
      <c r="F145" s="140">
        <f t="shared" si="16"/>
        <v>4649</v>
      </c>
      <c r="G145" s="140"/>
      <c r="H145" s="140">
        <v>4299</v>
      </c>
      <c r="I145" s="140">
        <v>350</v>
      </c>
      <c r="J145" s="140"/>
      <c r="K145" s="140"/>
      <c r="L145" s="140"/>
      <c r="M145" s="140"/>
      <c r="N145" s="140"/>
      <c r="O145" s="140"/>
      <c r="P145" s="140"/>
    </row>
    <row r="146" spans="1:16" ht="30" customHeight="1">
      <c r="A146" s="138" t="s">
        <v>723</v>
      </c>
      <c r="B146" s="135">
        <f>SUM(C146+F146,L146:P146)</f>
        <v>3136</v>
      </c>
      <c r="C146" s="136">
        <v>0</v>
      </c>
      <c r="D146" s="136"/>
      <c r="E146" s="136"/>
      <c r="F146" s="140">
        <f t="shared" si="16"/>
        <v>3136</v>
      </c>
      <c r="G146" s="140"/>
      <c r="H146" s="140">
        <v>2216</v>
      </c>
      <c r="I146" s="140">
        <v>700</v>
      </c>
      <c r="J146" s="140"/>
      <c r="K146" s="140">
        <v>220</v>
      </c>
      <c r="L146" s="140"/>
      <c r="M146" s="140"/>
      <c r="N146" s="140"/>
      <c r="O146" s="140"/>
      <c r="P146" s="140"/>
    </row>
    <row r="147" spans="1:16" ht="30" customHeight="1">
      <c r="A147" s="141" t="s">
        <v>248</v>
      </c>
      <c r="B147" s="135">
        <f>SUM(C147:F147,L147:P147)</f>
        <v>6101</v>
      </c>
      <c r="C147" s="136"/>
      <c r="D147" s="136"/>
      <c r="E147" s="136"/>
      <c r="F147" s="140">
        <f t="shared" si="16"/>
        <v>6101</v>
      </c>
      <c r="G147" s="140"/>
      <c r="H147" s="140">
        <v>3201</v>
      </c>
      <c r="I147" s="140">
        <v>2900</v>
      </c>
      <c r="J147" s="140"/>
      <c r="K147" s="140"/>
      <c r="L147" s="140"/>
      <c r="M147" s="140"/>
      <c r="N147" s="140"/>
      <c r="O147" s="140"/>
      <c r="P147" s="140"/>
    </row>
    <row r="148" spans="1:16" ht="30" customHeight="1">
      <c r="A148" s="141" t="s">
        <v>251</v>
      </c>
      <c r="B148" s="135">
        <f>SUM(C148+F148,L148:P148)</f>
        <v>5348</v>
      </c>
      <c r="C148" s="136"/>
      <c r="D148" s="136"/>
      <c r="E148" s="136"/>
      <c r="F148" s="140">
        <f t="shared" si="16"/>
        <v>5348</v>
      </c>
      <c r="G148" s="140"/>
      <c r="H148" s="140">
        <v>4898</v>
      </c>
      <c r="I148" s="140">
        <v>20</v>
      </c>
      <c r="J148" s="140"/>
      <c r="K148" s="140">
        <v>430</v>
      </c>
      <c r="L148" s="140"/>
      <c r="M148" s="140"/>
      <c r="N148" s="140"/>
      <c r="O148" s="140"/>
      <c r="P148" s="140"/>
    </row>
    <row r="149" spans="1:16" ht="30" customHeight="1">
      <c r="A149" s="141" t="s">
        <v>115</v>
      </c>
      <c r="B149" s="135">
        <f>SUM(C149+F149,L149:P149)</f>
        <v>5000</v>
      </c>
      <c r="C149" s="136">
        <f>D149+E149</f>
        <v>0</v>
      </c>
      <c r="D149" s="136"/>
      <c r="E149" s="136"/>
      <c r="F149" s="140">
        <f t="shared" si="16"/>
        <v>5000</v>
      </c>
      <c r="G149" s="140"/>
      <c r="H149" s="140">
        <v>3850</v>
      </c>
      <c r="I149" s="140">
        <v>700</v>
      </c>
      <c r="J149" s="140"/>
      <c r="K149" s="140">
        <v>450</v>
      </c>
      <c r="L149" s="140"/>
      <c r="M149" s="140"/>
      <c r="N149" s="140"/>
      <c r="O149" s="140"/>
      <c r="P149" s="140"/>
    </row>
    <row r="150" spans="1:16" ht="23.25" customHeight="1">
      <c r="A150" s="147" t="s">
        <v>151</v>
      </c>
      <c r="B150" s="135">
        <f>SUM(C150+F150,L150:P150)</f>
        <v>5600</v>
      </c>
      <c r="C150" s="148"/>
      <c r="D150" s="149"/>
      <c r="E150" s="149"/>
      <c r="F150" s="140">
        <f t="shared" si="16"/>
        <v>5600</v>
      </c>
      <c r="G150" s="140"/>
      <c r="H150" s="140">
        <v>4600</v>
      </c>
      <c r="I150" s="140">
        <v>1000</v>
      </c>
      <c r="J150" s="140"/>
      <c r="K150" s="140"/>
      <c r="L150" s="140"/>
      <c r="M150" s="140"/>
      <c r="N150" s="178"/>
      <c r="O150" s="140"/>
      <c r="P150" s="140"/>
    </row>
    <row r="151" spans="1:16" ht="30" customHeight="1">
      <c r="A151" s="141" t="s">
        <v>724</v>
      </c>
      <c r="B151" s="135">
        <f>SUM(C151:F151,L151:P151)</f>
        <v>3193</v>
      </c>
      <c r="C151" s="145"/>
      <c r="D151" s="145"/>
      <c r="E151" s="145"/>
      <c r="F151" s="140">
        <f t="shared" si="16"/>
        <v>3193</v>
      </c>
      <c r="G151" s="140"/>
      <c r="H151" s="140">
        <v>2930</v>
      </c>
      <c r="I151" s="140">
        <v>203</v>
      </c>
      <c r="J151" s="140"/>
      <c r="K151" s="140">
        <v>60</v>
      </c>
      <c r="L151" s="140"/>
      <c r="M151" s="140"/>
      <c r="N151" s="179"/>
      <c r="O151" s="140"/>
      <c r="P151" s="140"/>
    </row>
    <row r="152" spans="1:16" ht="30" customHeight="1">
      <c r="A152" s="141" t="s">
        <v>108</v>
      </c>
      <c r="B152" s="135">
        <f t="shared" si="18" ref="B152:B160">SUM(C152+F152,L152:P152)</f>
        <v>7036</v>
      </c>
      <c r="C152" s="136"/>
      <c r="D152" s="136"/>
      <c r="E152" s="136"/>
      <c r="F152" s="140">
        <f t="shared" si="16"/>
        <v>5436</v>
      </c>
      <c r="G152" s="140"/>
      <c r="H152" s="140">
        <v>4953</v>
      </c>
      <c r="I152" s="140">
        <v>260</v>
      </c>
      <c r="J152" s="140"/>
      <c r="K152" s="140">
        <v>223</v>
      </c>
      <c r="L152" s="140"/>
      <c r="M152" s="140"/>
      <c r="N152" s="140">
        <v>1600</v>
      </c>
      <c r="O152" s="140"/>
      <c r="P152" s="140"/>
    </row>
    <row r="153" spans="1:16" ht="30" customHeight="1">
      <c r="A153" s="141" t="s">
        <v>112</v>
      </c>
      <c r="B153" s="135">
        <f t="shared" si="18"/>
        <v>2977</v>
      </c>
      <c r="C153" s="136"/>
      <c r="D153" s="136"/>
      <c r="E153" s="136"/>
      <c r="F153" s="140">
        <f t="shared" si="16"/>
        <v>2977</v>
      </c>
      <c r="G153" s="140"/>
      <c r="H153" s="140">
        <v>2330</v>
      </c>
      <c r="I153" s="140">
        <v>339</v>
      </c>
      <c r="J153" s="140"/>
      <c r="K153" s="140">
        <v>308</v>
      </c>
      <c r="L153" s="140"/>
      <c r="M153" s="140"/>
      <c r="N153" s="140"/>
      <c r="O153" s="140"/>
      <c r="P153" s="140"/>
    </row>
    <row r="154" spans="1:16" ht="21.6" customHeight="1">
      <c r="A154" s="147" t="s">
        <v>152</v>
      </c>
      <c r="B154" s="135">
        <f t="shared" si="18"/>
        <v>6650</v>
      </c>
      <c r="C154" s="144"/>
      <c r="D154" s="145"/>
      <c r="E154" s="150"/>
      <c r="F154" s="140">
        <f t="shared" si="16"/>
        <v>6650</v>
      </c>
      <c r="G154" s="140"/>
      <c r="H154" s="140">
        <v>4850</v>
      </c>
      <c r="I154" s="140">
        <v>1800</v>
      </c>
      <c r="J154" s="140"/>
      <c r="K154" s="140"/>
      <c r="L154" s="140"/>
      <c r="M154" s="140"/>
      <c r="N154" s="178"/>
      <c r="O154" s="140"/>
      <c r="P154" s="140"/>
    </row>
    <row r="155" spans="1:16" ht="30" customHeight="1">
      <c r="A155" s="141" t="s">
        <v>113</v>
      </c>
      <c r="B155" s="135">
        <f t="shared" si="18"/>
        <v>2127</v>
      </c>
      <c r="C155" s="136"/>
      <c r="D155" s="136"/>
      <c r="E155" s="136"/>
      <c r="F155" s="140">
        <f t="shared" si="16"/>
        <v>2127</v>
      </c>
      <c r="G155" s="140"/>
      <c r="H155" s="140">
        <v>1640</v>
      </c>
      <c r="I155" s="140">
        <v>200</v>
      </c>
      <c r="J155" s="140"/>
      <c r="K155" s="140">
        <v>287</v>
      </c>
      <c r="L155" s="140"/>
      <c r="M155" s="140"/>
      <c r="N155" s="140"/>
      <c r="O155" s="140"/>
      <c r="P155" s="140"/>
    </row>
    <row r="156" spans="1:16" ht="21" customHeight="1">
      <c r="A156" s="141" t="s">
        <v>259</v>
      </c>
      <c r="B156" s="135">
        <f t="shared" si="18"/>
        <v>9405</v>
      </c>
      <c r="C156" s="136"/>
      <c r="D156" s="136"/>
      <c r="E156" s="136"/>
      <c r="F156" s="140">
        <f t="shared" si="19" ref="F156:F176">SUM(G156:K156)</f>
        <v>9405</v>
      </c>
      <c r="G156" s="140"/>
      <c r="H156" s="140">
        <v>7601</v>
      </c>
      <c r="I156" s="140">
        <v>984</v>
      </c>
      <c r="J156" s="140"/>
      <c r="K156" s="140">
        <v>820</v>
      </c>
      <c r="L156" s="140"/>
      <c r="M156" s="140"/>
      <c r="N156" s="140"/>
      <c r="O156" s="140"/>
      <c r="P156" s="140"/>
    </row>
    <row r="157" spans="1:16" ht="30" customHeight="1">
      <c r="A157" s="141" t="s">
        <v>110</v>
      </c>
      <c r="B157" s="135">
        <f t="shared" si="18"/>
        <v>3605</v>
      </c>
      <c r="C157" s="136"/>
      <c r="D157" s="136"/>
      <c r="E157" s="136"/>
      <c r="F157" s="140">
        <f t="shared" si="19"/>
        <v>3605</v>
      </c>
      <c r="G157" s="140"/>
      <c r="H157" s="140">
        <v>1840</v>
      </c>
      <c r="I157" s="140">
        <v>1560</v>
      </c>
      <c r="J157" s="140"/>
      <c r="K157" s="140">
        <v>205</v>
      </c>
      <c r="L157" s="140"/>
      <c r="M157" s="140"/>
      <c r="N157" s="140"/>
      <c r="O157" s="140"/>
      <c r="P157" s="140"/>
    </row>
    <row r="158" spans="1:16" ht="30" customHeight="1">
      <c r="A158" s="141" t="s">
        <v>715</v>
      </c>
      <c r="B158" s="135">
        <f t="shared" si="18"/>
        <v>5659</v>
      </c>
      <c r="C158" s="136"/>
      <c r="D158" s="136"/>
      <c r="E158" s="136"/>
      <c r="F158" s="140">
        <f t="shared" si="19"/>
        <v>5659</v>
      </c>
      <c r="G158" s="140"/>
      <c r="H158" s="140">
        <v>5009</v>
      </c>
      <c r="I158" s="140">
        <v>650</v>
      </c>
      <c r="J158" s="140"/>
      <c r="K158" s="140"/>
      <c r="L158" s="140"/>
      <c r="M158" s="140"/>
      <c r="N158" s="140"/>
      <c r="O158" s="140"/>
      <c r="P158" s="140"/>
    </row>
    <row r="159" spans="1:16" ht="30" customHeight="1">
      <c r="A159" s="138" t="s">
        <v>118</v>
      </c>
      <c r="B159" s="135">
        <f t="shared" si="18"/>
        <v>3974</v>
      </c>
      <c r="C159" s="136"/>
      <c r="D159" s="136"/>
      <c r="E159" s="136"/>
      <c r="F159" s="140">
        <f t="shared" si="19"/>
        <v>3974</v>
      </c>
      <c r="G159" s="140"/>
      <c r="H159" s="140">
        <v>3610</v>
      </c>
      <c r="I159" s="140">
        <v>280</v>
      </c>
      <c r="J159" s="140"/>
      <c r="K159" s="140">
        <v>84</v>
      </c>
      <c r="L159" s="140"/>
      <c r="M159" s="140"/>
      <c r="N159" s="140"/>
      <c r="O159" s="140"/>
      <c r="P159" s="140"/>
    </row>
    <row r="160" spans="1:16" ht="30" customHeight="1">
      <c r="A160" s="138" t="s">
        <v>105</v>
      </c>
      <c r="B160" s="135">
        <f t="shared" si="18"/>
        <v>30795</v>
      </c>
      <c r="C160" s="136">
        <f>D160+E160</f>
        <v>22926</v>
      </c>
      <c r="D160" s="136">
        <f>22248+940-4638</f>
        <v>18550</v>
      </c>
      <c r="E160" s="136">
        <v>4376</v>
      </c>
      <c r="F160" s="140">
        <f t="shared" si="19"/>
        <v>7869</v>
      </c>
      <c r="G160" s="140"/>
      <c r="H160" s="140">
        <v>3299</v>
      </c>
      <c r="I160" s="140">
        <v>2970</v>
      </c>
      <c r="J160" s="140"/>
      <c r="K160" s="140">
        <v>1600</v>
      </c>
      <c r="L160" s="140"/>
      <c r="M160" s="140"/>
      <c r="N160" s="140"/>
      <c r="O160" s="140"/>
      <c r="P160" s="140"/>
    </row>
    <row r="161" spans="1:16" ht="30" customHeight="1">
      <c r="A161" s="138" t="s">
        <v>731</v>
      </c>
      <c r="B161" s="135">
        <f>SUM(C161:F161,L161:P161)</f>
        <v>2560</v>
      </c>
      <c r="C161" s="136"/>
      <c r="D161" s="136"/>
      <c r="E161" s="136"/>
      <c r="F161" s="140">
        <f t="shared" si="19"/>
        <v>2560</v>
      </c>
      <c r="G161" s="140"/>
      <c r="H161" s="140">
        <v>2560</v>
      </c>
      <c r="I161" s="140"/>
      <c r="J161" s="140"/>
      <c r="K161" s="140"/>
      <c r="L161" s="140"/>
      <c r="M161" s="140"/>
      <c r="N161" s="140"/>
      <c r="O161" s="140"/>
      <c r="P161" s="140"/>
    </row>
    <row r="162" spans="1:16" ht="30" customHeight="1">
      <c r="A162" s="138" t="s">
        <v>120</v>
      </c>
      <c r="B162" s="135">
        <f>SUM(C162+F162,L162:P162)</f>
        <v>12366</v>
      </c>
      <c r="C162" s="136">
        <f>D162+E162</f>
        <v>9036</v>
      </c>
      <c r="D162" s="136">
        <v>7311</v>
      </c>
      <c r="E162" s="136">
        <v>1725</v>
      </c>
      <c r="F162" s="140">
        <f t="shared" si="19"/>
        <v>3330</v>
      </c>
      <c r="G162" s="140"/>
      <c r="H162" s="140">
        <v>1479</v>
      </c>
      <c r="I162" s="140">
        <v>1400</v>
      </c>
      <c r="J162" s="140"/>
      <c r="K162" s="140">
        <v>451</v>
      </c>
      <c r="L162" s="140"/>
      <c r="M162" s="140"/>
      <c r="N162" s="140"/>
      <c r="O162" s="140"/>
      <c r="P162" s="140"/>
    </row>
    <row r="163" spans="1:16" ht="30" customHeight="1">
      <c r="A163" s="147" t="s">
        <v>148</v>
      </c>
      <c r="B163" s="135">
        <f>SUM(C163:F163,L163:P163)</f>
        <v>26000</v>
      </c>
      <c r="C163" s="144"/>
      <c r="D163" s="145"/>
      <c r="E163" s="150"/>
      <c r="F163" s="140">
        <f t="shared" si="19"/>
        <v>0</v>
      </c>
      <c r="G163" s="140"/>
      <c r="H163" s="140"/>
      <c r="I163" s="140"/>
      <c r="J163" s="140"/>
      <c r="K163" s="140"/>
      <c r="L163" s="140"/>
      <c r="M163" s="140"/>
      <c r="N163" s="178">
        <v>26000</v>
      </c>
      <c r="O163" s="140"/>
      <c r="P163" s="140"/>
    </row>
    <row r="164" spans="1:16" ht="15" customHeight="1">
      <c r="A164" s="141" t="s">
        <v>30</v>
      </c>
      <c r="B164" s="135">
        <f t="shared" si="20" ref="B164:B203">SUM(C164+F164,L164:P164)</f>
        <v>13943</v>
      </c>
      <c r="C164" s="136">
        <f>D164+E164</f>
        <v>11340</v>
      </c>
      <c r="D164" s="136">
        <f>8328+840</f>
        <v>9168</v>
      </c>
      <c r="E164" s="136">
        <v>2172</v>
      </c>
      <c r="F164" s="180">
        <f>SUM(G164:P164)</f>
        <v>2603</v>
      </c>
      <c r="G164" s="140"/>
      <c r="H164" s="140">
        <v>1361</v>
      </c>
      <c r="I164" s="140">
        <v>1242</v>
      </c>
      <c r="J164" s="140"/>
      <c r="K164" s="140"/>
      <c r="L164" s="140"/>
      <c r="M164" s="140"/>
      <c r="N164" s="140"/>
      <c r="O164" s="140"/>
      <c r="P164" s="140"/>
    </row>
    <row r="165" spans="1:16" ht="15" customHeight="1">
      <c r="A165" s="138" t="s">
        <v>31</v>
      </c>
      <c r="B165" s="135">
        <f t="shared" si="20"/>
        <v>15089</v>
      </c>
      <c r="C165" s="136">
        <f t="shared" si="21" ref="C165:C173">D165+E165</f>
        <v>12486</v>
      </c>
      <c r="D165" s="136">
        <f>2180+7818</f>
        <v>9998</v>
      </c>
      <c r="E165" s="136">
        <v>2488</v>
      </c>
      <c r="F165" s="140">
        <f>SUM(G165:K165)</f>
        <v>2603</v>
      </c>
      <c r="G165" s="140"/>
      <c r="H165" s="140">
        <v>1114</v>
      </c>
      <c r="I165" s="140">
        <v>1489</v>
      </c>
      <c r="J165" s="140"/>
      <c r="K165" s="140"/>
      <c r="L165" s="140"/>
      <c r="M165" s="140"/>
      <c r="N165" s="140"/>
      <c r="O165" s="140"/>
      <c r="P165" s="140"/>
    </row>
    <row r="166" spans="1:16" ht="15" customHeight="1">
      <c r="A166" s="138" t="s">
        <v>32</v>
      </c>
      <c r="B166" s="135">
        <f t="shared" si="20"/>
        <v>13911</v>
      </c>
      <c r="C166" s="136">
        <f t="shared" si="21"/>
        <v>11308</v>
      </c>
      <c r="D166" s="136">
        <f>840+8441</f>
        <v>9281</v>
      </c>
      <c r="E166" s="136">
        <v>2027</v>
      </c>
      <c r="F166" s="140">
        <f t="shared" si="19"/>
        <v>2603</v>
      </c>
      <c r="G166" s="140"/>
      <c r="H166" s="140">
        <v>1281</v>
      </c>
      <c r="I166" s="140">
        <v>1322</v>
      </c>
      <c r="J166" s="140"/>
      <c r="K166" s="140"/>
      <c r="L166" s="140"/>
      <c r="M166" s="140"/>
      <c r="N166" s="140"/>
      <c r="O166" s="140"/>
      <c r="P166" s="140"/>
    </row>
    <row r="167" spans="1:16" ht="15" customHeight="1">
      <c r="A167" s="138" t="s">
        <v>153</v>
      </c>
      <c r="B167" s="135">
        <f t="shared" si="20"/>
        <v>12896</v>
      </c>
      <c r="C167" s="136">
        <f>D167+E167</f>
        <v>10293</v>
      </c>
      <c r="D167" s="136">
        <f>8328</f>
        <v>8328</v>
      </c>
      <c r="E167" s="136">
        <v>1965</v>
      </c>
      <c r="F167" s="140">
        <f t="shared" si="19"/>
        <v>2603</v>
      </c>
      <c r="G167" s="140"/>
      <c r="H167" s="140">
        <v>1603</v>
      </c>
      <c r="I167" s="140">
        <v>1000</v>
      </c>
      <c r="J167" s="140"/>
      <c r="K167" s="140"/>
      <c r="L167" s="140"/>
      <c r="M167" s="140"/>
      <c r="N167" s="140"/>
      <c r="O167" s="140"/>
      <c r="P167" s="140"/>
    </row>
    <row r="168" spans="1:16" ht="15" customHeight="1">
      <c r="A168" s="138" t="s">
        <v>33</v>
      </c>
      <c r="B168" s="135">
        <f t="shared" si="20"/>
        <v>13024</v>
      </c>
      <c r="C168" s="136">
        <f t="shared" si="21"/>
        <v>10421</v>
      </c>
      <c r="D168" s="136">
        <f>8328</f>
        <v>8328</v>
      </c>
      <c r="E168" s="136">
        <v>2093</v>
      </c>
      <c r="F168" s="140">
        <f t="shared" si="19"/>
        <v>2603</v>
      </c>
      <c r="G168" s="140"/>
      <c r="H168" s="140">
        <v>1179</v>
      </c>
      <c r="I168" s="140">
        <v>1424</v>
      </c>
      <c r="J168" s="140"/>
      <c r="K168" s="140"/>
      <c r="L168" s="140"/>
      <c r="M168" s="140"/>
      <c r="N168" s="140"/>
      <c r="O168" s="140"/>
      <c r="P168" s="140"/>
    </row>
    <row r="169" spans="1:16" ht="15" customHeight="1">
      <c r="A169" s="143" t="s">
        <v>133</v>
      </c>
      <c r="B169" s="135">
        <f t="shared" si="20"/>
        <v>15914</v>
      </c>
      <c r="C169" s="144">
        <f t="shared" si="21"/>
        <v>13311</v>
      </c>
      <c r="D169" s="145">
        <f>3020+8001</f>
        <v>11021</v>
      </c>
      <c r="E169" s="150">
        <v>2290</v>
      </c>
      <c r="F169" s="140">
        <f t="shared" si="19"/>
        <v>2603</v>
      </c>
      <c r="G169" s="178"/>
      <c r="H169" s="178">
        <v>1321</v>
      </c>
      <c r="I169" s="178">
        <v>1282</v>
      </c>
      <c r="J169" s="178"/>
      <c r="K169" s="178"/>
      <c r="L169" s="178"/>
      <c r="M169" s="178"/>
      <c r="N169" s="178"/>
      <c r="O169" s="178"/>
      <c r="P169" s="178"/>
    </row>
    <row r="170" spans="1:16" ht="15" customHeight="1">
      <c r="A170" s="138" t="s">
        <v>128</v>
      </c>
      <c r="B170" s="135">
        <f t="shared" si="20"/>
        <v>15620</v>
      </c>
      <c r="C170" s="136">
        <f t="shared" si="21"/>
        <v>13017</v>
      </c>
      <c r="D170" s="136">
        <f>2100+8328</f>
        <v>10428</v>
      </c>
      <c r="E170" s="136">
        <f>624+1965</f>
        <v>2589</v>
      </c>
      <c r="F170" s="140">
        <f t="shared" si="19"/>
        <v>2603</v>
      </c>
      <c r="G170" s="140"/>
      <c r="H170" s="140">
        <v>810</v>
      </c>
      <c r="I170" s="140">
        <v>1793</v>
      </c>
      <c r="J170" s="140"/>
      <c r="K170" s="140"/>
      <c r="L170" s="140"/>
      <c r="M170" s="140"/>
      <c r="N170" s="140"/>
      <c r="O170" s="140"/>
      <c r="P170" s="140"/>
    </row>
    <row r="171" spans="1:16" ht="15" customHeight="1">
      <c r="A171" s="138" t="s">
        <v>34</v>
      </c>
      <c r="B171" s="135">
        <f t="shared" si="20"/>
        <v>16826</v>
      </c>
      <c r="C171" s="136">
        <f t="shared" si="21"/>
        <v>13223</v>
      </c>
      <c r="D171" s="136">
        <f>2267+8328</f>
        <v>10595</v>
      </c>
      <c r="E171" s="136">
        <f>663+1965</f>
        <v>2628</v>
      </c>
      <c r="F171" s="140">
        <f t="shared" si="19"/>
        <v>3603</v>
      </c>
      <c r="G171" s="140"/>
      <c r="H171" s="140">
        <v>890</v>
      </c>
      <c r="I171" s="140">
        <f>1000+1713</f>
        <v>2713</v>
      </c>
      <c r="J171" s="140"/>
      <c r="K171" s="140"/>
      <c r="L171" s="140"/>
      <c r="M171" s="140"/>
      <c r="N171" s="140"/>
      <c r="O171" s="140"/>
      <c r="P171" s="140"/>
    </row>
    <row r="172" spans="1:16" ht="15" customHeight="1">
      <c r="A172" s="138" t="s">
        <v>35</v>
      </c>
      <c r="B172" s="135">
        <f t="shared" si="20"/>
        <v>13024</v>
      </c>
      <c r="C172" s="136">
        <f t="shared" si="21"/>
        <v>10421</v>
      </c>
      <c r="D172" s="136">
        <f>8328</f>
        <v>8328</v>
      </c>
      <c r="E172" s="136">
        <v>2093</v>
      </c>
      <c r="F172" s="140">
        <f t="shared" si="19"/>
        <v>2603</v>
      </c>
      <c r="G172" s="140"/>
      <c r="H172" s="140">
        <v>1399</v>
      </c>
      <c r="I172" s="140">
        <v>1204</v>
      </c>
      <c r="J172" s="140"/>
      <c r="K172" s="140"/>
      <c r="L172" s="140"/>
      <c r="M172" s="140"/>
      <c r="N172" s="140"/>
      <c r="O172" s="140"/>
      <c r="P172" s="140"/>
    </row>
    <row r="173" spans="1:16" ht="30" customHeight="1">
      <c r="A173" s="143" t="s">
        <v>188</v>
      </c>
      <c r="B173" s="135">
        <f t="shared" si="20"/>
        <v>19829</v>
      </c>
      <c r="C173" s="146">
        <f t="shared" si="21"/>
        <v>11028</v>
      </c>
      <c r="D173" s="150">
        <v>8923</v>
      </c>
      <c r="E173" s="145">
        <v>2105</v>
      </c>
      <c r="F173" s="140">
        <f t="shared" si="19"/>
        <v>8801</v>
      </c>
      <c r="G173" s="178"/>
      <c r="H173" s="178">
        <v>3366</v>
      </c>
      <c r="I173" s="178">
        <v>5435</v>
      </c>
      <c r="J173" s="178"/>
      <c r="K173" s="178"/>
      <c r="L173" s="178"/>
      <c r="M173" s="178"/>
      <c r="N173" s="178"/>
      <c r="O173" s="178"/>
      <c r="P173" s="178"/>
    </row>
    <row r="174" spans="1:16" ht="15" customHeight="1">
      <c r="A174" s="138" t="s">
        <v>176</v>
      </c>
      <c r="B174" s="135">
        <f t="shared" si="20"/>
        <v>76922</v>
      </c>
      <c r="C174" s="136">
        <f>D174+E174</f>
        <v>70138</v>
      </c>
      <c r="D174" s="136">
        <v>56333</v>
      </c>
      <c r="E174" s="136">
        <v>13805</v>
      </c>
      <c r="F174" s="140">
        <f t="shared" si="19"/>
        <v>6784</v>
      </c>
      <c r="G174" s="140">
        <v>80</v>
      </c>
      <c r="H174" s="140">
        <v>575</v>
      </c>
      <c r="I174" s="140">
        <v>6129</v>
      </c>
      <c r="J174" s="140"/>
      <c r="K174" s="140"/>
      <c r="L174" s="140"/>
      <c r="M174" s="140"/>
      <c r="N174" s="140"/>
      <c r="O174" s="140"/>
      <c r="P174" s="140"/>
    </row>
    <row r="175" spans="1:16" ht="30" customHeight="1">
      <c r="A175" s="138" t="s">
        <v>207</v>
      </c>
      <c r="B175" s="135">
        <f t="shared" si="20"/>
        <v>32894</v>
      </c>
      <c r="C175" s="136">
        <f>D175+E175</f>
        <v>2860</v>
      </c>
      <c r="D175" s="136">
        <v>2860</v>
      </c>
      <c r="E175" s="136"/>
      <c r="F175" s="140">
        <f t="shared" si="19"/>
        <v>30034</v>
      </c>
      <c r="G175" s="140">
        <v>3484</v>
      </c>
      <c r="H175" s="140">
        <v>12505</v>
      </c>
      <c r="I175" s="140">
        <v>14045</v>
      </c>
      <c r="J175" s="140"/>
      <c r="K175" s="140"/>
      <c r="L175" s="140"/>
      <c r="M175" s="140"/>
      <c r="N175" s="140"/>
      <c r="O175" s="140"/>
      <c r="P175" s="140"/>
    </row>
    <row r="176" spans="1:16" ht="27.75" customHeight="1">
      <c r="A176" s="138" t="s">
        <v>781</v>
      </c>
      <c r="B176" s="135">
        <f t="shared" si="20"/>
        <v>19169</v>
      </c>
      <c r="C176" s="136">
        <f>D176+E176</f>
        <v>400</v>
      </c>
      <c r="D176" s="136">
        <v>320</v>
      </c>
      <c r="E176" s="136">
        <v>80</v>
      </c>
      <c r="F176" s="140">
        <f t="shared" si="19"/>
        <v>18769</v>
      </c>
      <c r="G176" s="140">
        <v>7713</v>
      </c>
      <c r="H176" s="140">
        <v>1300</v>
      </c>
      <c r="I176" s="140">
        <v>9756</v>
      </c>
      <c r="J176" s="140"/>
      <c r="K176" s="140"/>
      <c r="L176" s="140"/>
      <c r="M176" s="140"/>
      <c r="N176" s="140"/>
      <c r="O176" s="140"/>
      <c r="P176" s="140"/>
    </row>
    <row r="177" spans="1:16" ht="15" customHeight="1">
      <c r="A177" s="138" t="s">
        <v>229</v>
      </c>
      <c r="B177" s="135">
        <f t="shared" si="20"/>
        <v>25492</v>
      </c>
      <c r="C177" s="136">
        <f>D177+E177</f>
        <v>15084</v>
      </c>
      <c r="D177" s="136">
        <v>12030</v>
      </c>
      <c r="E177" s="136">
        <v>3054</v>
      </c>
      <c r="F177" s="140">
        <f>SUM(G177:K177)</f>
        <v>9608</v>
      </c>
      <c r="G177" s="140"/>
      <c r="H177" s="140">
        <v>2423</v>
      </c>
      <c r="I177" s="140">
        <v>7185</v>
      </c>
      <c r="J177" s="140"/>
      <c r="K177" s="140"/>
      <c r="L177" s="140"/>
      <c r="M177" s="140"/>
      <c r="N177" s="140">
        <v>800</v>
      </c>
      <c r="O177" s="140"/>
      <c r="P177" s="140"/>
    </row>
    <row r="178" spans="1:16" ht="15" customHeight="1">
      <c r="A178" s="138" t="s">
        <v>36</v>
      </c>
      <c r="B178" s="135">
        <f t="shared" si="20"/>
        <v>473195</v>
      </c>
      <c r="C178" s="136">
        <f t="shared" si="22" ref="C178:C186">D178+E178</f>
        <v>406263</v>
      </c>
      <c r="D178" s="136">
        <v>328878</v>
      </c>
      <c r="E178" s="136">
        <v>77385</v>
      </c>
      <c r="F178" s="140">
        <f t="shared" si="23" ref="F178:F206">SUM(G178:K178)</f>
        <v>42532</v>
      </c>
      <c r="G178" s="140">
        <v>270</v>
      </c>
      <c r="H178" s="140">
        <v>23992</v>
      </c>
      <c r="I178" s="140">
        <v>4870</v>
      </c>
      <c r="J178" s="140">
        <v>13400</v>
      </c>
      <c r="K178" s="140"/>
      <c r="L178" s="140"/>
      <c r="M178" s="140"/>
      <c r="N178" s="140">
        <v>24400</v>
      </c>
      <c r="O178" s="140"/>
      <c r="P178" s="140"/>
    </row>
    <row r="179" spans="1:16" ht="15" customHeight="1">
      <c r="A179" s="137" t="s">
        <v>82</v>
      </c>
      <c r="B179" s="135">
        <f t="shared" si="20"/>
        <v>127876</v>
      </c>
      <c r="C179" s="136">
        <f t="shared" si="22"/>
        <v>97105</v>
      </c>
      <c r="D179" s="136">
        <v>78144</v>
      </c>
      <c r="E179" s="136">
        <v>18961</v>
      </c>
      <c r="F179" s="140">
        <f t="shared" si="23"/>
        <v>30771</v>
      </c>
      <c r="G179" s="140">
        <v>203</v>
      </c>
      <c r="H179" s="140">
        <v>28288</v>
      </c>
      <c r="I179" s="140">
        <v>2280</v>
      </c>
      <c r="J179" s="140"/>
      <c r="K179" s="140"/>
      <c r="L179" s="140"/>
      <c r="M179" s="140"/>
      <c r="N179" s="140"/>
      <c r="O179" s="140"/>
      <c r="P179" s="140"/>
    </row>
    <row r="180" spans="1:16" ht="15" customHeight="1">
      <c r="A180" s="137" t="s">
        <v>154</v>
      </c>
      <c r="B180" s="135">
        <f t="shared" si="20"/>
        <v>49301</v>
      </c>
      <c r="C180" s="136">
        <f t="shared" si="22"/>
        <v>40635</v>
      </c>
      <c r="D180" s="136">
        <v>33507</v>
      </c>
      <c r="E180" s="136">
        <v>7128</v>
      </c>
      <c r="F180" s="140">
        <f t="shared" si="23"/>
        <v>8566</v>
      </c>
      <c r="G180" s="140">
        <v>90</v>
      </c>
      <c r="H180" s="140">
        <v>3453</v>
      </c>
      <c r="I180" s="140">
        <v>5023</v>
      </c>
      <c r="J180" s="140"/>
      <c r="K180" s="140"/>
      <c r="L180" s="140"/>
      <c r="M180" s="140"/>
      <c r="N180" s="140">
        <v>100</v>
      </c>
      <c r="O180" s="140"/>
      <c r="P180" s="140"/>
    </row>
    <row r="181" spans="1:16" ht="15" customHeight="1">
      <c r="A181" s="143" t="s">
        <v>136</v>
      </c>
      <c r="B181" s="135">
        <f t="shared" si="20"/>
        <v>10051</v>
      </c>
      <c r="C181" s="151">
        <f t="shared" si="22"/>
        <v>9087</v>
      </c>
      <c r="D181" s="145">
        <v>7749</v>
      </c>
      <c r="E181" s="150">
        <v>1338</v>
      </c>
      <c r="F181" s="140">
        <f t="shared" si="23"/>
        <v>964</v>
      </c>
      <c r="G181" s="181">
        <v>30</v>
      </c>
      <c r="H181" s="181">
        <v>392</v>
      </c>
      <c r="I181" s="181">
        <v>542</v>
      </c>
      <c r="J181" s="181"/>
      <c r="K181" s="181"/>
      <c r="L181" s="181"/>
      <c r="M181" s="181"/>
      <c r="N181" s="181"/>
      <c r="O181" s="181"/>
      <c r="P181" s="181"/>
    </row>
    <row r="182" spans="1:16" ht="20.25" customHeight="1">
      <c r="A182" s="138" t="s">
        <v>135</v>
      </c>
      <c r="B182" s="135">
        <f t="shared" si="20"/>
        <v>40744</v>
      </c>
      <c r="C182" s="136">
        <f t="shared" si="22"/>
        <v>27541</v>
      </c>
      <c r="D182" s="136">
        <v>22393</v>
      </c>
      <c r="E182" s="136">
        <v>5148</v>
      </c>
      <c r="F182" s="140">
        <f t="shared" si="23"/>
        <v>13203</v>
      </c>
      <c r="G182" s="140">
        <v>80</v>
      </c>
      <c r="H182" s="140">
        <v>3158</v>
      </c>
      <c r="I182" s="140">
        <v>9965</v>
      </c>
      <c r="J182" s="140"/>
      <c r="K182" s="140"/>
      <c r="L182" s="140"/>
      <c r="M182" s="140"/>
      <c r="N182" s="140"/>
      <c r="O182" s="140"/>
      <c r="P182" s="140"/>
    </row>
    <row r="183" spans="1:16" ht="30" customHeight="1">
      <c r="A183" s="141" t="s">
        <v>134</v>
      </c>
      <c r="B183" s="135">
        <f t="shared" si="20"/>
        <v>13905</v>
      </c>
      <c r="C183" s="136">
        <f>D183+E183</f>
        <v>9173</v>
      </c>
      <c r="D183" s="136">
        <v>7417</v>
      </c>
      <c r="E183" s="136">
        <v>1756</v>
      </c>
      <c r="F183" s="140">
        <f t="shared" si="23"/>
        <v>4732</v>
      </c>
      <c r="G183" s="140"/>
      <c r="H183" s="140">
        <v>2282</v>
      </c>
      <c r="I183" s="140">
        <v>2450</v>
      </c>
      <c r="J183" s="140"/>
      <c r="K183" s="140"/>
      <c r="L183" s="140"/>
      <c r="M183" s="140"/>
      <c r="N183" s="140"/>
      <c r="O183" s="140"/>
      <c r="P183" s="140"/>
    </row>
    <row r="184" spans="1:16" ht="15" customHeight="1">
      <c r="A184" s="141" t="s">
        <v>80</v>
      </c>
      <c r="B184" s="135">
        <f t="shared" si="20"/>
        <v>235948</v>
      </c>
      <c r="C184" s="136">
        <f t="shared" si="22"/>
        <v>187607</v>
      </c>
      <c r="D184" s="136">
        <v>152250</v>
      </c>
      <c r="E184" s="136">
        <v>35357</v>
      </c>
      <c r="F184" s="140">
        <f t="shared" si="23"/>
        <v>48341</v>
      </c>
      <c r="G184" s="140">
        <v>130</v>
      </c>
      <c r="H184" s="140">
        <v>33164</v>
      </c>
      <c r="I184" s="140">
        <v>15047</v>
      </c>
      <c r="J184" s="140"/>
      <c r="K184" s="140"/>
      <c r="L184" s="140"/>
      <c r="M184" s="140"/>
      <c r="N184" s="140"/>
      <c r="O184" s="140"/>
      <c r="P184" s="140"/>
    </row>
    <row r="185" spans="1:16" ht="15" customHeight="1">
      <c r="A185" s="141" t="s">
        <v>37</v>
      </c>
      <c r="B185" s="135">
        <f t="shared" si="20"/>
        <v>62056</v>
      </c>
      <c r="C185" s="136">
        <f t="shared" si="22"/>
        <v>1734</v>
      </c>
      <c r="D185" s="136">
        <v>1734</v>
      </c>
      <c r="E185" s="136"/>
      <c r="F185" s="140">
        <f t="shared" si="23"/>
        <v>60322</v>
      </c>
      <c r="G185" s="140"/>
      <c r="H185" s="140">
        <v>56212</v>
      </c>
      <c r="I185" s="140">
        <v>4110</v>
      </c>
      <c r="J185" s="140"/>
      <c r="K185" s="140"/>
      <c r="L185" s="140"/>
      <c r="M185" s="140"/>
      <c r="N185" s="140"/>
      <c r="O185" s="140"/>
      <c r="P185" s="140"/>
    </row>
    <row r="186" spans="1:16" ht="15" customHeight="1">
      <c r="A186" s="141" t="s">
        <v>155</v>
      </c>
      <c r="B186" s="135">
        <f t="shared" si="20"/>
        <v>45814</v>
      </c>
      <c r="C186" s="136">
        <f t="shared" si="22"/>
        <v>36008</v>
      </c>
      <c r="D186" s="136">
        <v>30158</v>
      </c>
      <c r="E186" s="136">
        <v>5850</v>
      </c>
      <c r="F186" s="140">
        <f t="shared" si="23"/>
        <v>9806</v>
      </c>
      <c r="G186" s="140"/>
      <c r="H186" s="140">
        <v>7756</v>
      </c>
      <c r="I186" s="140">
        <f>1350+700</f>
        <v>2050</v>
      </c>
      <c r="J186" s="140"/>
      <c r="K186" s="140"/>
      <c r="L186" s="140"/>
      <c r="M186" s="140"/>
      <c r="N186" s="140"/>
      <c r="O186" s="140"/>
      <c r="P186" s="140"/>
    </row>
    <row r="187" spans="1:16" ht="15" customHeight="1">
      <c r="A187" s="141" t="s">
        <v>200</v>
      </c>
      <c r="B187" s="135">
        <f t="shared" si="20"/>
        <v>46344</v>
      </c>
      <c r="C187" s="136">
        <f t="shared" si="24" ref="C187:C196">D187+E187</f>
        <v>37049</v>
      </c>
      <c r="D187" s="136">
        <v>30175</v>
      </c>
      <c r="E187" s="136">
        <v>6874</v>
      </c>
      <c r="F187" s="140">
        <f t="shared" si="23"/>
        <v>9295</v>
      </c>
      <c r="G187" s="140"/>
      <c r="H187" s="140">
        <v>6475</v>
      </c>
      <c r="I187" s="140">
        <v>2820</v>
      </c>
      <c r="J187" s="140"/>
      <c r="K187" s="140"/>
      <c r="L187" s="140"/>
      <c r="M187" s="140"/>
      <c r="N187" s="140"/>
      <c r="O187" s="140"/>
      <c r="P187" s="140"/>
    </row>
    <row r="188" spans="1:16" ht="15" customHeight="1">
      <c r="A188" s="141" t="s">
        <v>38</v>
      </c>
      <c r="B188" s="135">
        <f t="shared" si="20"/>
        <v>41948</v>
      </c>
      <c r="C188" s="136">
        <f t="shared" si="24"/>
        <v>33216</v>
      </c>
      <c r="D188" s="136">
        <v>26905</v>
      </c>
      <c r="E188" s="136">
        <v>6311</v>
      </c>
      <c r="F188" s="140">
        <f t="shared" si="23"/>
        <v>8732</v>
      </c>
      <c r="G188" s="140"/>
      <c r="H188" s="140">
        <v>4457</v>
      </c>
      <c r="I188" s="140">
        <v>4275</v>
      </c>
      <c r="J188" s="140"/>
      <c r="K188" s="140"/>
      <c r="L188" s="140"/>
      <c r="M188" s="140"/>
      <c r="N188" s="140"/>
      <c r="O188" s="140"/>
      <c r="P188" s="140"/>
    </row>
    <row r="189" spans="1:16" ht="15" customHeight="1">
      <c r="A189" s="141" t="s">
        <v>39</v>
      </c>
      <c r="B189" s="135">
        <f t="shared" si="20"/>
        <v>31644</v>
      </c>
      <c r="C189" s="136">
        <f t="shared" si="24"/>
        <v>27048</v>
      </c>
      <c r="D189" s="136">
        <v>21722</v>
      </c>
      <c r="E189" s="136">
        <v>5326</v>
      </c>
      <c r="F189" s="140">
        <f t="shared" si="23"/>
        <v>4596</v>
      </c>
      <c r="G189" s="140"/>
      <c r="H189" s="140">
        <v>2666</v>
      </c>
      <c r="I189" s="140">
        <v>1930</v>
      </c>
      <c r="J189" s="140"/>
      <c r="K189" s="140"/>
      <c r="L189" s="140"/>
      <c r="M189" s="140"/>
      <c r="N189" s="140"/>
      <c r="O189" s="140"/>
      <c r="P189" s="140"/>
    </row>
    <row r="190" spans="1:16" ht="15" customHeight="1">
      <c r="A190" s="141" t="s">
        <v>40</v>
      </c>
      <c r="B190" s="135">
        <f t="shared" si="20"/>
        <v>57400</v>
      </c>
      <c r="C190" s="136">
        <f t="shared" si="24"/>
        <v>36631</v>
      </c>
      <c r="D190" s="136">
        <v>29879</v>
      </c>
      <c r="E190" s="136">
        <v>6752</v>
      </c>
      <c r="F190" s="140">
        <f t="shared" si="23"/>
        <v>20769</v>
      </c>
      <c r="G190" s="140"/>
      <c r="H190" s="140">
        <v>13869</v>
      </c>
      <c r="I190" s="140">
        <v>6900</v>
      </c>
      <c r="J190" s="140"/>
      <c r="K190" s="140"/>
      <c r="L190" s="140"/>
      <c r="M190" s="140"/>
      <c r="N190" s="140"/>
      <c r="O190" s="140"/>
      <c r="P190" s="140"/>
    </row>
    <row r="191" spans="1:16" ht="15" customHeight="1">
      <c r="A191" s="147" t="s">
        <v>132</v>
      </c>
      <c r="B191" s="135">
        <f t="shared" si="20"/>
        <v>47314</v>
      </c>
      <c r="C191" s="144">
        <f t="shared" si="24"/>
        <v>30804</v>
      </c>
      <c r="D191" s="145">
        <v>24993</v>
      </c>
      <c r="E191" s="150">
        <v>5811</v>
      </c>
      <c r="F191" s="140">
        <f t="shared" si="23"/>
        <v>16510</v>
      </c>
      <c r="G191" s="178"/>
      <c r="H191" s="178">
        <v>12785</v>
      </c>
      <c r="I191" s="178">
        <v>3725</v>
      </c>
      <c r="J191" s="178"/>
      <c r="K191" s="178"/>
      <c r="L191" s="178"/>
      <c r="M191" s="178"/>
      <c r="N191" s="178"/>
      <c r="O191" s="178"/>
      <c r="P191" s="178"/>
    </row>
    <row r="192" spans="1:16" ht="15" customHeight="1">
      <c r="A192" s="141" t="s">
        <v>199</v>
      </c>
      <c r="B192" s="135">
        <f t="shared" si="20"/>
        <v>12114</v>
      </c>
      <c r="C192" s="136">
        <f t="shared" si="24"/>
        <v>8851</v>
      </c>
      <c r="D192" s="136">
        <v>7134</v>
      </c>
      <c r="E192" s="136">
        <v>1717</v>
      </c>
      <c r="F192" s="140">
        <f t="shared" si="23"/>
        <v>3263</v>
      </c>
      <c r="G192" s="140"/>
      <c r="H192" s="140">
        <v>2228</v>
      </c>
      <c r="I192" s="140">
        <v>1035</v>
      </c>
      <c r="J192" s="140"/>
      <c r="K192" s="140"/>
      <c r="L192" s="140"/>
      <c r="M192" s="140"/>
      <c r="N192" s="140"/>
      <c r="O192" s="140"/>
      <c r="P192" s="140"/>
    </row>
    <row r="193" spans="1:16" ht="15" customHeight="1">
      <c r="A193" s="141" t="s">
        <v>159</v>
      </c>
      <c r="B193" s="135">
        <f t="shared" si="20"/>
        <v>37450</v>
      </c>
      <c r="C193" s="136">
        <f t="shared" si="24"/>
        <v>24987</v>
      </c>
      <c r="D193" s="136">
        <v>19291</v>
      </c>
      <c r="E193" s="136">
        <v>5696</v>
      </c>
      <c r="F193" s="140">
        <f t="shared" si="23"/>
        <v>12463</v>
      </c>
      <c r="G193" s="140"/>
      <c r="H193" s="140">
        <v>6773</v>
      </c>
      <c r="I193" s="140">
        <v>5690</v>
      </c>
      <c r="J193" s="140"/>
      <c r="K193" s="140"/>
      <c r="L193" s="140"/>
      <c r="M193" s="140"/>
      <c r="N193" s="140"/>
      <c r="O193" s="140"/>
      <c r="P193" s="140"/>
    </row>
    <row r="194" spans="1:16" ht="15" customHeight="1">
      <c r="A194" s="141" t="s">
        <v>206</v>
      </c>
      <c r="B194" s="135">
        <f t="shared" si="20"/>
        <v>25294</v>
      </c>
      <c r="C194" s="136">
        <f t="shared" si="24"/>
        <v>18406</v>
      </c>
      <c r="D194" s="136">
        <v>14751</v>
      </c>
      <c r="E194" s="136">
        <v>3655</v>
      </c>
      <c r="F194" s="140">
        <f t="shared" si="23"/>
        <v>5888</v>
      </c>
      <c r="G194" s="140"/>
      <c r="H194" s="140">
        <f>4045-400-600</f>
        <v>3045</v>
      </c>
      <c r="I194" s="140">
        <v>2843</v>
      </c>
      <c r="J194" s="140"/>
      <c r="K194" s="140"/>
      <c r="L194" s="140"/>
      <c r="M194" s="140"/>
      <c r="N194" s="140">
        <v>1000</v>
      </c>
      <c r="O194" s="140"/>
      <c r="P194" s="140"/>
    </row>
    <row r="195" spans="1:16" ht="15" customHeight="1">
      <c r="A195" s="141" t="s">
        <v>197</v>
      </c>
      <c r="B195" s="135">
        <f t="shared" si="20"/>
        <v>18466</v>
      </c>
      <c r="C195" s="136">
        <f t="shared" si="24"/>
        <v>13685</v>
      </c>
      <c r="D195" s="136">
        <v>11094</v>
      </c>
      <c r="E195" s="136">
        <v>2591</v>
      </c>
      <c r="F195" s="140">
        <f t="shared" si="23"/>
        <v>4781</v>
      </c>
      <c r="G195" s="140"/>
      <c r="H195" s="140">
        <v>3012</v>
      </c>
      <c r="I195" s="140">
        <v>1769</v>
      </c>
      <c r="J195" s="140"/>
      <c r="K195" s="140"/>
      <c r="L195" s="140"/>
      <c r="M195" s="140"/>
      <c r="N195" s="140"/>
      <c r="O195" s="140"/>
      <c r="P195" s="140"/>
    </row>
    <row r="196" spans="1:16" ht="15" customHeight="1">
      <c r="A196" s="147" t="s">
        <v>191</v>
      </c>
      <c r="B196" s="135">
        <f t="shared" si="20"/>
        <v>65006</v>
      </c>
      <c r="C196" s="151">
        <f t="shared" si="24"/>
        <v>51669</v>
      </c>
      <c r="D196" s="145">
        <v>42047</v>
      </c>
      <c r="E196" s="150">
        <v>9622</v>
      </c>
      <c r="F196" s="140">
        <f t="shared" si="23"/>
        <v>12417</v>
      </c>
      <c r="G196" s="181"/>
      <c r="H196" s="181">
        <v>8402</v>
      </c>
      <c r="I196" s="181">
        <v>4015</v>
      </c>
      <c r="J196" s="181"/>
      <c r="K196" s="181"/>
      <c r="L196" s="181"/>
      <c r="M196" s="181"/>
      <c r="N196" s="181">
        <v>920</v>
      </c>
      <c r="O196" s="181"/>
      <c r="P196" s="181"/>
    </row>
    <row r="197" spans="1:16" ht="15" customHeight="1">
      <c r="A197" s="141" t="s">
        <v>217</v>
      </c>
      <c r="B197" s="135">
        <f t="shared" si="20"/>
        <v>47154</v>
      </c>
      <c r="C197" s="136">
        <f t="shared" si="25" ref="C197:C203">D197+E197</f>
        <v>38937</v>
      </c>
      <c r="D197" s="136">
        <v>31966</v>
      </c>
      <c r="E197" s="136">
        <v>6971</v>
      </c>
      <c r="F197" s="140">
        <f t="shared" si="23"/>
        <v>8217</v>
      </c>
      <c r="G197" s="140"/>
      <c r="H197" s="140">
        <v>5662</v>
      </c>
      <c r="I197" s="140">
        <v>2555</v>
      </c>
      <c r="J197" s="140"/>
      <c r="K197" s="140"/>
      <c r="L197" s="140"/>
      <c r="M197" s="140"/>
      <c r="N197" s="140"/>
      <c r="O197" s="140"/>
      <c r="P197" s="140"/>
    </row>
    <row r="198" spans="1:16" ht="15" customHeight="1">
      <c r="A198" s="141" t="s">
        <v>208</v>
      </c>
      <c r="B198" s="135">
        <f t="shared" si="20"/>
        <v>35518</v>
      </c>
      <c r="C198" s="136">
        <f t="shared" si="25"/>
        <v>28223</v>
      </c>
      <c r="D198" s="136">
        <v>22268</v>
      </c>
      <c r="E198" s="136">
        <v>5955</v>
      </c>
      <c r="F198" s="140">
        <f t="shared" si="23"/>
        <v>7295</v>
      </c>
      <c r="G198" s="140"/>
      <c r="H198" s="140">
        <v>4275</v>
      </c>
      <c r="I198" s="140">
        <v>3020</v>
      </c>
      <c r="J198" s="140"/>
      <c r="K198" s="140"/>
      <c r="L198" s="140"/>
      <c r="M198" s="140"/>
      <c r="N198" s="140"/>
      <c r="O198" s="140"/>
      <c r="P198" s="140"/>
    </row>
    <row r="199" spans="1:16" ht="15" customHeight="1">
      <c r="A199" s="141" t="s">
        <v>41</v>
      </c>
      <c r="B199" s="135">
        <f t="shared" si="20"/>
        <v>28085</v>
      </c>
      <c r="C199" s="136">
        <f t="shared" si="25"/>
        <v>19270</v>
      </c>
      <c r="D199" s="136">
        <v>15633</v>
      </c>
      <c r="E199" s="136">
        <v>3637</v>
      </c>
      <c r="F199" s="140">
        <f t="shared" si="23"/>
        <v>8815</v>
      </c>
      <c r="G199" s="140"/>
      <c r="H199" s="140">
        <v>5216</v>
      </c>
      <c r="I199" s="140">
        <v>3599</v>
      </c>
      <c r="J199" s="140"/>
      <c r="K199" s="140"/>
      <c r="L199" s="140"/>
      <c r="M199" s="140"/>
      <c r="N199" s="140"/>
      <c r="O199" s="140"/>
      <c r="P199" s="140"/>
    </row>
    <row r="200" spans="1:16" ht="15" customHeight="1">
      <c r="A200" s="141" t="s">
        <v>157</v>
      </c>
      <c r="B200" s="135">
        <f t="shared" si="20"/>
        <v>115257</v>
      </c>
      <c r="C200" s="136">
        <f t="shared" si="25"/>
        <v>82078</v>
      </c>
      <c r="D200" s="136">
        <v>66476</v>
      </c>
      <c r="E200" s="136">
        <v>15602</v>
      </c>
      <c r="F200" s="140">
        <f t="shared" si="23"/>
        <v>33179</v>
      </c>
      <c r="G200" s="140"/>
      <c r="H200" s="140">
        <v>23134</v>
      </c>
      <c r="I200" s="140">
        <v>10045</v>
      </c>
      <c r="J200" s="140"/>
      <c r="K200" s="140"/>
      <c r="L200" s="140"/>
      <c r="M200" s="140"/>
      <c r="N200" s="140"/>
      <c r="O200" s="140"/>
      <c r="P200" s="140"/>
    </row>
    <row r="201" spans="1:16" ht="15" customHeight="1">
      <c r="A201" s="141" t="s">
        <v>156</v>
      </c>
      <c r="B201" s="135">
        <f t="shared" si="20"/>
        <v>51325</v>
      </c>
      <c r="C201" s="136">
        <f t="shared" si="25"/>
        <v>33178</v>
      </c>
      <c r="D201" s="136">
        <v>26887</v>
      </c>
      <c r="E201" s="136">
        <v>6291</v>
      </c>
      <c r="F201" s="140">
        <f t="shared" si="23"/>
        <v>18147</v>
      </c>
      <c r="G201" s="140"/>
      <c r="H201" s="140">
        <v>9726</v>
      </c>
      <c r="I201" s="140">
        <v>8421</v>
      </c>
      <c r="J201" s="140"/>
      <c r="K201" s="140"/>
      <c r="L201" s="140"/>
      <c r="M201" s="140"/>
      <c r="N201" s="140"/>
      <c r="O201" s="140"/>
      <c r="P201" s="140"/>
    </row>
    <row r="202" spans="1:16" ht="30" customHeight="1">
      <c r="A202" s="138" t="s">
        <v>160</v>
      </c>
      <c r="B202" s="135">
        <f t="shared" si="20"/>
        <v>33974</v>
      </c>
      <c r="C202" s="136">
        <f t="shared" si="25"/>
        <v>24748</v>
      </c>
      <c r="D202" s="136">
        <v>19812</v>
      </c>
      <c r="E202" s="136">
        <v>4936</v>
      </c>
      <c r="F202" s="140">
        <f t="shared" si="23"/>
        <v>9226</v>
      </c>
      <c r="G202" s="140"/>
      <c r="H202" s="140">
        <v>4396</v>
      </c>
      <c r="I202" s="140">
        <v>4830</v>
      </c>
      <c r="J202" s="140"/>
      <c r="K202" s="140"/>
      <c r="L202" s="140"/>
      <c r="M202" s="140"/>
      <c r="N202" s="140"/>
      <c r="O202" s="140"/>
      <c r="P202" s="140"/>
    </row>
    <row r="203" spans="1:16" ht="30" customHeight="1">
      <c r="A203" s="138" t="s">
        <v>158</v>
      </c>
      <c r="B203" s="135">
        <f t="shared" si="20"/>
        <v>67372</v>
      </c>
      <c r="C203" s="136">
        <f t="shared" si="25"/>
        <v>40124</v>
      </c>
      <c r="D203" s="136">
        <v>31977</v>
      </c>
      <c r="E203" s="136">
        <v>8147</v>
      </c>
      <c r="F203" s="140">
        <f t="shared" si="23"/>
        <v>27248</v>
      </c>
      <c r="G203" s="140"/>
      <c r="H203" s="140">
        <v>13013</v>
      </c>
      <c r="I203" s="140">
        <v>14235</v>
      </c>
      <c r="J203" s="140"/>
      <c r="K203" s="140"/>
      <c r="L203" s="140"/>
      <c r="M203" s="140"/>
      <c r="N203" s="140"/>
      <c r="O203" s="140"/>
      <c r="P203" s="140"/>
    </row>
    <row r="204" spans="1:16" ht="62.1" customHeight="1">
      <c r="A204" s="138" t="s">
        <v>230</v>
      </c>
      <c r="B204" s="135">
        <f>SUM(C204:F204,L204:P204)</f>
        <v>7745</v>
      </c>
      <c r="C204" s="136"/>
      <c r="D204" s="136"/>
      <c r="E204" s="136"/>
      <c r="F204" s="140">
        <f t="shared" si="23"/>
        <v>0</v>
      </c>
      <c r="G204" s="140"/>
      <c r="H204" s="140"/>
      <c r="I204" s="140"/>
      <c r="J204" s="140"/>
      <c r="K204" s="140"/>
      <c r="L204" s="140">
        <v>7745</v>
      </c>
      <c r="M204" s="140"/>
      <c r="N204" s="140"/>
      <c r="O204" s="140"/>
      <c r="P204" s="140"/>
    </row>
    <row r="205" spans="1:16" ht="20.25" customHeight="1">
      <c r="A205" s="137" t="s">
        <v>178</v>
      </c>
      <c r="B205" s="135">
        <f>SUM(C205+F205,L205:P205)</f>
        <v>56506</v>
      </c>
      <c r="C205" s="145">
        <f>D205+E205</f>
        <v>51783</v>
      </c>
      <c r="D205" s="145">
        <v>42042</v>
      </c>
      <c r="E205" s="145">
        <v>9741</v>
      </c>
      <c r="F205" s="140">
        <f t="shared" si="23"/>
        <v>4723</v>
      </c>
      <c r="G205" s="182">
        <v>32</v>
      </c>
      <c r="H205" s="182">
        <v>1420</v>
      </c>
      <c r="I205" s="182">
        <v>3271</v>
      </c>
      <c r="J205" s="182"/>
      <c r="K205" s="182"/>
      <c r="L205" s="182"/>
      <c r="M205" s="182"/>
      <c r="N205" s="182"/>
      <c r="O205" s="182"/>
      <c r="P205" s="182">
        <v>0</v>
      </c>
    </row>
    <row r="206" spans="1:16" ht="21.75" customHeight="1">
      <c r="A206" s="137" t="s">
        <v>179</v>
      </c>
      <c r="B206" s="135">
        <f>SUM(C206+F206,L206:P206)</f>
        <v>36083</v>
      </c>
      <c r="C206" s="145">
        <f>D206+E206</f>
        <v>800</v>
      </c>
      <c r="D206" s="145">
        <v>800</v>
      </c>
      <c r="E206" s="145">
        <v>0</v>
      </c>
      <c r="F206" s="140">
        <f t="shared" si="23"/>
        <v>35283</v>
      </c>
      <c r="G206" s="182">
        <v>0</v>
      </c>
      <c r="H206" s="182">
        <v>24040</v>
      </c>
      <c r="I206" s="182">
        <v>11243</v>
      </c>
      <c r="J206" s="182"/>
      <c r="K206" s="182"/>
      <c r="L206" s="182"/>
      <c r="M206" s="182"/>
      <c r="N206" s="182"/>
      <c r="O206" s="182"/>
      <c r="P206" s="182"/>
    </row>
    <row r="207" spans="1:16" ht="30" customHeight="1">
      <c r="A207" s="138" t="s">
        <v>42</v>
      </c>
      <c r="B207" s="135">
        <f>SUM(C207+F207,L207:P207)</f>
        <v>62508</v>
      </c>
      <c r="C207" s="136">
        <f>D207+E207</f>
        <v>500</v>
      </c>
      <c r="D207" s="136">
        <v>500</v>
      </c>
      <c r="E207" s="136"/>
      <c r="F207" s="140">
        <f>SUM(G207:K207)</f>
        <v>61008</v>
      </c>
      <c r="G207" s="140"/>
      <c r="H207" s="140">
        <v>44700</v>
      </c>
      <c r="I207" s="140">
        <v>16300</v>
      </c>
      <c r="J207" s="140"/>
      <c r="K207" s="140">
        <v>8</v>
      </c>
      <c r="L207" s="140"/>
      <c r="M207" s="140"/>
      <c r="N207" s="140"/>
      <c r="O207" s="140">
        <v>1000</v>
      </c>
      <c r="P207" s="140"/>
    </row>
    <row r="208" spans="1:16" ht="15" customHeight="1">
      <c r="A208" s="138" t="s">
        <v>43</v>
      </c>
      <c r="B208" s="135">
        <f>SUM(C208+F208,L208:P208)</f>
        <v>1032413</v>
      </c>
      <c r="C208" s="136">
        <f>D208+E208</f>
        <v>884620</v>
      </c>
      <c r="D208" s="136">
        <f>205853+332299+180571-4448</f>
        <v>714275</v>
      </c>
      <c r="E208" s="136">
        <f>50408+78389+42597-1049</f>
        <v>170345</v>
      </c>
      <c r="F208" s="140">
        <f>SUM(G208:K208)</f>
        <v>120593</v>
      </c>
      <c r="G208" s="140"/>
      <c r="H208" s="140">
        <v>46839</v>
      </c>
      <c r="I208" s="140">
        <f>70525+I209</f>
        <v>73754</v>
      </c>
      <c r="J208" s="140"/>
      <c r="K208" s="140"/>
      <c r="L208" s="140"/>
      <c r="M208" s="140"/>
      <c r="N208" s="140">
        <f>27000+N209</f>
        <v>27200</v>
      </c>
      <c r="O208" s="140"/>
      <c r="P208" s="140"/>
    </row>
    <row r="209" spans="1:16" ht="15" customHeight="1">
      <c r="A209" s="226" t="s">
        <v>836</v>
      </c>
      <c r="B209" s="135">
        <f>F209+N209</f>
        <v>3429</v>
      </c>
      <c r="C209" s="136"/>
      <c r="D209" s="136"/>
      <c r="E209" s="136"/>
      <c r="F209" s="140">
        <f>SUM(G209:K209)</f>
        <v>3229</v>
      </c>
      <c r="G209" s="140"/>
      <c r="H209" s="140"/>
      <c r="I209" s="140">
        <v>3229</v>
      </c>
      <c r="J209" s="140"/>
      <c r="K209" s="140"/>
      <c r="L209" s="140"/>
      <c r="M209" s="140"/>
      <c r="N209" s="140">
        <v>200</v>
      </c>
      <c r="O209" s="140"/>
      <c r="P209" s="140"/>
    </row>
    <row r="210" spans="1:17" ht="15" customHeight="1">
      <c r="A210" s="138" t="s">
        <v>44</v>
      </c>
      <c r="B210" s="135">
        <f>SUM(C210+F210,L210:P210)</f>
        <v>670920</v>
      </c>
      <c r="C210" s="136">
        <f t="shared" si="26" ref="C210:C218">D210+E210</f>
        <v>591663</v>
      </c>
      <c r="D210" s="136">
        <f>133751+248476+66089-1236</f>
        <v>447080</v>
      </c>
      <c r="E210" s="136">
        <f>70668+58616+15591-292</f>
        <v>144583</v>
      </c>
      <c r="F210" s="140">
        <f>SUM(G210:K210)</f>
        <v>79257</v>
      </c>
      <c r="G210" s="140"/>
      <c r="H210" s="140">
        <v>30701</v>
      </c>
      <c r="I210" s="140">
        <f>46526+I211</f>
        <v>48556</v>
      </c>
      <c r="J210" s="140"/>
      <c r="K210" s="140"/>
      <c r="L210" s="140"/>
      <c r="M210" s="140"/>
      <c r="N210" s="140"/>
      <c r="O210" s="140"/>
      <c r="P210" s="140"/>
      <c r="Q210" s="83"/>
    </row>
    <row r="211" spans="1:16" ht="15" customHeight="1">
      <c r="A211" s="226" t="s">
        <v>836</v>
      </c>
      <c r="B211" s="135">
        <f>F211+N211</f>
        <v>2030</v>
      </c>
      <c r="C211" s="136"/>
      <c r="D211" s="136"/>
      <c r="E211" s="136"/>
      <c r="F211" s="140">
        <f>I211</f>
        <v>2030</v>
      </c>
      <c r="G211" s="140"/>
      <c r="H211" s="140"/>
      <c r="I211" s="140">
        <v>2030</v>
      </c>
      <c r="J211" s="140"/>
      <c r="K211" s="140"/>
      <c r="L211" s="140"/>
      <c r="M211" s="140"/>
      <c r="N211" s="140"/>
      <c r="O211" s="140"/>
      <c r="P211" s="140"/>
    </row>
    <row r="212" spans="1:16" ht="15" customHeight="1">
      <c r="A212" s="138" t="s">
        <v>45</v>
      </c>
      <c r="B212" s="135">
        <f>SUM(C212+F212,L212:P212)</f>
        <v>126258</v>
      </c>
      <c r="C212" s="136">
        <f t="shared" si="26"/>
        <v>117675</v>
      </c>
      <c r="D212" s="136">
        <f>33320+51917+9968</f>
        <v>95205</v>
      </c>
      <c r="E212" s="136">
        <f>7871+12247+2352</f>
        <v>22470</v>
      </c>
      <c r="F212" s="140">
        <f>SUM(G212:K212)</f>
        <v>8583</v>
      </c>
      <c r="G212" s="140"/>
      <c r="H212" s="140">
        <v>1049</v>
      </c>
      <c r="I212" s="140">
        <f>7324+I213</f>
        <v>7534</v>
      </c>
      <c r="J212" s="140"/>
      <c r="K212" s="140"/>
      <c r="L212" s="140"/>
      <c r="M212" s="140"/>
      <c r="N212" s="140"/>
      <c r="O212" s="140"/>
      <c r="P212" s="140"/>
    </row>
    <row r="213" spans="1:16" ht="15" customHeight="1">
      <c r="A213" s="226" t="s">
        <v>836</v>
      </c>
      <c r="B213" s="135">
        <f>F213</f>
        <v>210</v>
      </c>
      <c r="C213" s="136"/>
      <c r="D213" s="136"/>
      <c r="E213" s="136"/>
      <c r="F213" s="140">
        <f>I213</f>
        <v>210</v>
      </c>
      <c r="G213" s="140"/>
      <c r="H213" s="140"/>
      <c r="I213" s="140">
        <v>210</v>
      </c>
      <c r="J213" s="140"/>
      <c r="K213" s="140"/>
      <c r="L213" s="140"/>
      <c r="M213" s="140"/>
      <c r="N213" s="140"/>
      <c r="O213" s="140"/>
      <c r="P213" s="140"/>
    </row>
    <row r="214" spans="1:16" ht="15" customHeight="1">
      <c r="A214" s="138" t="s">
        <v>46</v>
      </c>
      <c r="B214" s="135">
        <f>SUM(C214+F214,L214:P214)</f>
        <v>351224</v>
      </c>
      <c r="C214" s="136">
        <f t="shared" si="26"/>
        <v>320238</v>
      </c>
      <c r="D214" s="136">
        <f>113286+115815+29627</f>
        <v>258728</v>
      </c>
      <c r="E214" s="136">
        <f>27200+27321+6989</f>
        <v>61510</v>
      </c>
      <c r="F214" s="140">
        <f t="shared" si="27" ref="F214:F218">SUM(G214:K214)</f>
        <v>30986</v>
      </c>
      <c r="G214" s="140"/>
      <c r="H214" s="140">
        <v>7862</v>
      </c>
      <c r="I214" s="140">
        <f>22214+I215</f>
        <v>23124</v>
      </c>
      <c r="J214" s="140"/>
      <c r="K214" s="140"/>
      <c r="L214" s="140"/>
      <c r="M214" s="140"/>
      <c r="N214" s="140"/>
      <c r="O214" s="140"/>
      <c r="P214" s="140"/>
    </row>
    <row r="215" spans="1:16" ht="15" customHeight="1">
      <c r="A215" s="226" t="s">
        <v>836</v>
      </c>
      <c r="B215" s="135">
        <f>F215</f>
        <v>910</v>
      </c>
      <c r="C215" s="136"/>
      <c r="D215" s="136"/>
      <c r="E215" s="136"/>
      <c r="F215" s="140">
        <f>I215</f>
        <v>910</v>
      </c>
      <c r="G215" s="140"/>
      <c r="H215" s="140"/>
      <c r="I215" s="140">
        <v>910</v>
      </c>
      <c r="J215" s="140"/>
      <c r="K215" s="140"/>
      <c r="L215" s="140"/>
      <c r="M215" s="140"/>
      <c r="N215" s="140"/>
      <c r="O215" s="140"/>
      <c r="P215" s="140"/>
    </row>
    <row r="216" spans="1:16" ht="30" customHeight="1">
      <c r="A216" s="138" t="s">
        <v>166</v>
      </c>
      <c r="B216" s="135">
        <f>SUM(C216+F216,L216:P216)</f>
        <v>293606</v>
      </c>
      <c r="C216" s="136">
        <f t="shared" si="26"/>
        <v>262821</v>
      </c>
      <c r="D216" s="136">
        <f>66002+115671+33578-2330</f>
        <v>212921</v>
      </c>
      <c r="E216" s="136">
        <f>15242+27287+7921-550</f>
        <v>49900</v>
      </c>
      <c r="F216" s="140">
        <f>SUM(G216:K216)</f>
        <v>28005</v>
      </c>
      <c r="G216" s="140"/>
      <c r="H216" s="140">
        <v>8320</v>
      </c>
      <c r="I216" s="140">
        <f>18985+I217</f>
        <v>19685</v>
      </c>
      <c r="J216" s="140"/>
      <c r="K216" s="140"/>
      <c r="L216" s="140"/>
      <c r="M216" s="140"/>
      <c r="N216" s="140">
        <f>2500+N217</f>
        <v>2780</v>
      </c>
      <c r="O216" s="140"/>
      <c r="P216" s="140"/>
    </row>
    <row r="217" spans="1:16" ht="18.75" customHeight="1">
      <c r="A217" s="226" t="s">
        <v>836</v>
      </c>
      <c r="B217" s="135">
        <f>F217+N217</f>
        <v>980</v>
      </c>
      <c r="C217" s="136"/>
      <c r="D217" s="136"/>
      <c r="E217" s="136"/>
      <c r="F217" s="140">
        <f>I217</f>
        <v>700</v>
      </c>
      <c r="G217" s="140"/>
      <c r="H217" s="140"/>
      <c r="I217" s="140">
        <v>700</v>
      </c>
      <c r="J217" s="140"/>
      <c r="K217" s="140"/>
      <c r="L217" s="140"/>
      <c r="M217" s="140"/>
      <c r="N217" s="140">
        <v>280</v>
      </c>
      <c r="O217" s="140"/>
      <c r="P217" s="140"/>
    </row>
    <row r="218" spans="1:16" ht="30" customHeight="1">
      <c r="A218" s="138" t="s">
        <v>167</v>
      </c>
      <c r="B218" s="135">
        <f>SUM(C218+F218,L218:P218)</f>
        <v>153791</v>
      </c>
      <c r="C218" s="136">
        <f t="shared" si="26"/>
        <v>124971</v>
      </c>
      <c r="D218" s="136">
        <f>38534+48829+13677</f>
        <v>101040</v>
      </c>
      <c r="E218" s="136">
        <f>9185+11519+3227</f>
        <v>23931</v>
      </c>
      <c r="F218" s="140">
        <f t="shared" si="27"/>
        <v>28820</v>
      </c>
      <c r="G218" s="140"/>
      <c r="H218" s="140">
        <v>6181</v>
      </c>
      <c r="I218" s="140">
        <f>22219+I219</f>
        <v>22639</v>
      </c>
      <c r="J218" s="140"/>
      <c r="K218" s="140"/>
      <c r="L218" s="140"/>
      <c r="M218" s="140"/>
      <c r="N218" s="140"/>
      <c r="O218" s="140"/>
      <c r="P218" s="140"/>
    </row>
    <row r="219" spans="1:16" ht="18.75" customHeight="1">
      <c r="A219" s="226" t="s">
        <v>836</v>
      </c>
      <c r="B219" s="135">
        <f>F219</f>
        <v>420</v>
      </c>
      <c r="C219" s="136"/>
      <c r="D219" s="136"/>
      <c r="E219" s="136"/>
      <c r="F219" s="140">
        <f>I219</f>
        <v>420</v>
      </c>
      <c r="G219" s="140"/>
      <c r="H219" s="140"/>
      <c r="I219" s="140">
        <v>420</v>
      </c>
      <c r="J219" s="140"/>
      <c r="K219" s="140"/>
      <c r="L219" s="140"/>
      <c r="M219" s="140"/>
      <c r="N219" s="140"/>
      <c r="O219" s="140"/>
      <c r="P219" s="140"/>
    </row>
    <row r="220" spans="1:16" ht="15" customHeight="1">
      <c r="A220" s="138" t="s">
        <v>83</v>
      </c>
      <c r="B220" s="135">
        <f>SUM(C220+F220,L220:P220)</f>
        <v>1253564</v>
      </c>
      <c r="C220" s="136">
        <f>E220+D220</f>
        <v>875919</v>
      </c>
      <c r="D220" s="136">
        <f>150768+13739+14092+531868-6124</f>
        <v>704343</v>
      </c>
      <c r="E220" s="136">
        <f>40988+3241+3324+125468-1445</f>
        <v>171576</v>
      </c>
      <c r="F220" s="140">
        <f>SUM(G220:K220)</f>
        <v>368645</v>
      </c>
      <c r="G220" s="140">
        <v>400</v>
      </c>
      <c r="H220" s="140">
        <v>97742</v>
      </c>
      <c r="I220" s="140">
        <f>263232+I221</f>
        <v>270503</v>
      </c>
      <c r="J220" s="140"/>
      <c r="K220" s="140"/>
      <c r="L220" s="140"/>
      <c r="M220" s="140"/>
      <c r="N220" s="140">
        <f>N221</f>
        <v>9000</v>
      </c>
      <c r="O220" s="140"/>
      <c r="P220" s="140"/>
    </row>
    <row r="221" spans="1:16" ht="15" customHeight="1">
      <c r="A221" s="226" t="s">
        <v>836</v>
      </c>
      <c r="B221" s="135">
        <f>F221+N221</f>
        <v>16271</v>
      </c>
      <c r="C221" s="136"/>
      <c r="D221" s="136"/>
      <c r="E221" s="136"/>
      <c r="F221" s="140">
        <f>I221</f>
        <v>7271</v>
      </c>
      <c r="G221" s="140"/>
      <c r="H221" s="140"/>
      <c r="I221" s="140">
        <v>7271</v>
      </c>
      <c r="J221" s="140"/>
      <c r="K221" s="140"/>
      <c r="L221" s="140"/>
      <c r="M221" s="140"/>
      <c r="N221" s="140">
        <v>9000</v>
      </c>
      <c r="O221" s="140"/>
      <c r="P221" s="140"/>
    </row>
    <row r="222" spans="1:16" ht="15" customHeight="1">
      <c r="A222" s="138" t="s">
        <v>173</v>
      </c>
      <c r="B222" s="135">
        <f>SUM(C222+F222,L222:P222)</f>
        <v>498026</v>
      </c>
      <c r="C222" s="136">
        <f>D222+E222</f>
        <v>414843</v>
      </c>
      <c r="D222" s="136">
        <f>166995+37835+85592+4932+13677+22041-4864</f>
        <v>326208</v>
      </c>
      <c r="E222" s="136">
        <f>51076+8925+20192+1164+3227+5199-1148</f>
        <v>88635</v>
      </c>
      <c r="F222" s="140">
        <f>SUM(G222:K222)</f>
        <v>80849</v>
      </c>
      <c r="G222" s="140">
        <v>40</v>
      </c>
      <c r="H222" s="140">
        <v>15219</v>
      </c>
      <c r="I222" s="140">
        <f>64377+I223</f>
        <v>65352</v>
      </c>
      <c r="J222" s="140"/>
      <c r="K222" s="140">
        <v>238</v>
      </c>
      <c r="L222" s="140"/>
      <c r="M222" s="140"/>
      <c r="N222" s="140">
        <f>1000+N223</f>
        <v>2334</v>
      </c>
      <c r="O222" s="140"/>
      <c r="P222" s="140"/>
    </row>
    <row r="223" spans="1:16" ht="15" customHeight="1">
      <c r="A223" s="226" t="s">
        <v>836</v>
      </c>
      <c r="B223" s="135">
        <f>F223+N223</f>
        <v>2309</v>
      </c>
      <c r="C223" s="136"/>
      <c r="D223" s="136"/>
      <c r="E223" s="136"/>
      <c r="F223" s="140">
        <f>I223</f>
        <v>975</v>
      </c>
      <c r="G223" s="140"/>
      <c r="H223" s="140"/>
      <c r="I223" s="140">
        <v>975</v>
      </c>
      <c r="J223" s="140"/>
      <c r="K223" s="140"/>
      <c r="L223" s="140"/>
      <c r="M223" s="140"/>
      <c r="N223" s="140">
        <v>1334</v>
      </c>
      <c r="O223" s="140"/>
      <c r="P223" s="140"/>
    </row>
    <row r="224" spans="1:16" ht="30" customHeight="1">
      <c r="A224" s="138" t="s">
        <v>234</v>
      </c>
      <c r="B224" s="135">
        <f>SUM(C224+F224,L224:P224)</f>
        <v>27684</v>
      </c>
      <c r="C224" s="136">
        <f>D224+E224</f>
        <v>22617</v>
      </c>
      <c r="D224" s="136">
        <f>9500+8782</f>
        <v>18282</v>
      </c>
      <c r="E224" s="136">
        <f>2262+2073</f>
        <v>4335</v>
      </c>
      <c r="F224" s="140">
        <f>SUM(G224:K224)</f>
        <v>5067</v>
      </c>
      <c r="G224" s="140"/>
      <c r="H224" s="140">
        <v>1627</v>
      </c>
      <c r="I224" s="140">
        <v>3315</v>
      </c>
      <c r="J224" s="140"/>
      <c r="K224" s="140">
        <v>125</v>
      </c>
      <c r="L224" s="140"/>
      <c r="M224" s="140"/>
      <c r="N224" s="140"/>
      <c r="O224" s="140"/>
      <c r="P224" s="140"/>
    </row>
    <row r="225" spans="1:16" ht="15" customHeight="1">
      <c r="A225" s="147" t="s">
        <v>168</v>
      </c>
      <c r="B225" s="135">
        <f>SUM(C225+F225,L225:P225)</f>
        <v>522510</v>
      </c>
      <c r="C225" s="152">
        <f t="shared" si="28" ref="C225:C257">D225+E225</f>
        <v>468822</v>
      </c>
      <c r="D225" s="145">
        <f>131068+8829+173522+1761+9774+44640+12846-3500</f>
        <v>378940</v>
      </c>
      <c r="E225" s="145">
        <f>31409+2083+40934+415+2306+10531+3030-826</f>
        <v>89882</v>
      </c>
      <c r="F225" s="140">
        <f>SUM(G225:K225)</f>
        <v>50388</v>
      </c>
      <c r="G225" s="183"/>
      <c r="H225" s="183">
        <v>14862</v>
      </c>
      <c r="I225" s="183">
        <f>34983+I226</f>
        <v>35427</v>
      </c>
      <c r="J225" s="183">
        <v>99</v>
      </c>
      <c r="K225" s="183"/>
      <c r="L225" s="183"/>
      <c r="M225" s="183"/>
      <c r="N225" s="183">
        <f>1400+N226</f>
        <v>3300</v>
      </c>
      <c r="O225" s="183"/>
      <c r="P225" s="183"/>
    </row>
    <row r="226" spans="1:16" ht="15" customHeight="1">
      <c r="A226" s="227" t="s">
        <v>836</v>
      </c>
      <c r="B226" s="135">
        <f>F226+N226</f>
        <v>2344</v>
      </c>
      <c r="C226" s="220"/>
      <c r="D226" s="145"/>
      <c r="E226" s="145"/>
      <c r="F226" s="140">
        <f>I226</f>
        <v>444</v>
      </c>
      <c r="G226" s="182"/>
      <c r="H226" s="182"/>
      <c r="I226" s="182">
        <v>444</v>
      </c>
      <c r="J226" s="182"/>
      <c r="K226" s="182"/>
      <c r="L226" s="182"/>
      <c r="M226" s="182"/>
      <c r="N226" s="182">
        <v>1900</v>
      </c>
      <c r="O226" s="182"/>
      <c r="P226" s="182"/>
    </row>
    <row r="227" spans="1:16" ht="15" customHeight="1">
      <c r="A227" s="141" t="s">
        <v>47</v>
      </c>
      <c r="B227" s="135">
        <f>SUM(C227+F227,L227:P227)</f>
        <v>407709</v>
      </c>
      <c r="C227" s="136">
        <f t="shared" si="28"/>
        <v>359134</v>
      </c>
      <c r="D227" s="136">
        <f>124760+9774+3521+153572-1124</f>
        <v>290503</v>
      </c>
      <c r="E227" s="136">
        <f>29531+2306+831+36228-265</f>
        <v>68631</v>
      </c>
      <c r="F227" s="140">
        <f t="shared" si="29" ref="F227:F253">SUM(G227:K227)</f>
        <v>47295</v>
      </c>
      <c r="G227" s="140"/>
      <c r="H227" s="140">
        <v>17990</v>
      </c>
      <c r="I227" s="140">
        <f>27861+I228</f>
        <v>29031</v>
      </c>
      <c r="J227" s="140"/>
      <c r="K227" s="140">
        <v>274</v>
      </c>
      <c r="L227" s="140"/>
      <c r="M227" s="140"/>
      <c r="N227" s="140">
        <f>420+N228</f>
        <v>1280</v>
      </c>
      <c r="O227" s="140"/>
      <c r="P227" s="140"/>
    </row>
    <row r="228" spans="1:16" ht="15" customHeight="1">
      <c r="A228" s="226" t="s">
        <v>836</v>
      </c>
      <c r="B228" s="135">
        <f>I228+N228</f>
        <v>2030</v>
      </c>
      <c r="C228" s="136"/>
      <c r="D228" s="136"/>
      <c r="E228" s="136"/>
      <c r="F228" s="140">
        <f>I228</f>
        <v>1170</v>
      </c>
      <c r="G228" s="140"/>
      <c r="H228" s="140"/>
      <c r="I228" s="140">
        <v>1170</v>
      </c>
      <c r="J228" s="140"/>
      <c r="K228" s="140"/>
      <c r="L228" s="140"/>
      <c r="M228" s="140"/>
      <c r="N228" s="140">
        <v>860</v>
      </c>
      <c r="O228" s="140"/>
      <c r="P228" s="140"/>
    </row>
    <row r="229" spans="1:16" ht="15" customHeight="1">
      <c r="A229" s="138" t="s">
        <v>235</v>
      </c>
      <c r="B229" s="135">
        <f>SUM(C229+F229,L229:P229)</f>
        <v>667545</v>
      </c>
      <c r="C229" s="136">
        <f t="shared" si="28"/>
        <v>592296</v>
      </c>
      <c r="D229" s="136">
        <f>135711+22320+8104+242117+54684+14810+6078-6502</f>
        <v>477322</v>
      </c>
      <c r="E229" s="136">
        <f>34398+5265+1912+57115+12890+3494+1434-1534</f>
        <v>114974</v>
      </c>
      <c r="F229" s="140">
        <f>SUM(G229:K229)</f>
        <v>73110</v>
      </c>
      <c r="G229" s="140">
        <v>30</v>
      </c>
      <c r="H229" s="140">
        <v>23572</v>
      </c>
      <c r="I229" s="140">
        <f>47158+I230</f>
        <v>49508</v>
      </c>
      <c r="J229" s="140"/>
      <c r="K229" s="140"/>
      <c r="L229" s="140"/>
      <c r="M229" s="140"/>
      <c r="N229" s="140">
        <f>500+N230</f>
        <v>2139</v>
      </c>
      <c r="O229" s="140"/>
      <c r="P229" s="140"/>
    </row>
    <row r="230" spans="1:16" ht="15" customHeight="1">
      <c r="A230" s="226" t="s">
        <v>836</v>
      </c>
      <c r="B230" s="135">
        <f>I230+N230</f>
        <v>3989</v>
      </c>
      <c r="C230" s="136"/>
      <c r="D230" s="136"/>
      <c r="E230" s="136"/>
      <c r="F230" s="140">
        <f>I230</f>
        <v>2350</v>
      </c>
      <c r="G230" s="140"/>
      <c r="H230" s="140"/>
      <c r="I230" s="140">
        <v>2350</v>
      </c>
      <c r="J230" s="140"/>
      <c r="K230" s="140"/>
      <c r="L230" s="140"/>
      <c r="M230" s="140"/>
      <c r="N230" s="140">
        <v>1639</v>
      </c>
      <c r="O230" s="140"/>
      <c r="P230" s="140"/>
    </row>
    <row r="231" spans="1:16" ht="30" customHeight="1">
      <c r="A231" s="138" t="s">
        <v>237</v>
      </c>
      <c r="B231" s="135">
        <f>SUM(C231+F231,L231:P231)</f>
        <v>150888</v>
      </c>
      <c r="C231" s="136">
        <f t="shared" si="28"/>
        <v>128556</v>
      </c>
      <c r="D231" s="136">
        <f>52056+50820</f>
        <v>102876</v>
      </c>
      <c r="E231" s="136">
        <f>13692+11988</f>
        <v>25680</v>
      </c>
      <c r="F231" s="140">
        <f t="shared" si="29"/>
        <v>22332</v>
      </c>
      <c r="G231" s="140"/>
      <c r="H231" s="140">
        <v>5967</v>
      </c>
      <c r="I231" s="140">
        <v>16365</v>
      </c>
      <c r="J231" s="140"/>
      <c r="K231" s="140"/>
      <c r="L231" s="140"/>
      <c r="M231" s="140"/>
      <c r="N231" s="140"/>
      <c r="O231" s="140"/>
      <c r="P231" s="140"/>
    </row>
    <row r="232" spans="1:16" ht="30" customHeight="1">
      <c r="A232" s="141" t="s">
        <v>236</v>
      </c>
      <c r="B232" s="135">
        <f>SUM(C232+F232,L232:P232)</f>
        <v>111416</v>
      </c>
      <c r="C232" s="136">
        <f t="shared" si="28"/>
        <v>94018</v>
      </c>
      <c r="D232" s="136">
        <f>38834+36731</f>
        <v>75565</v>
      </c>
      <c r="E232" s="136">
        <f>9788+8665</f>
        <v>18453</v>
      </c>
      <c r="F232" s="140">
        <f t="shared" si="29"/>
        <v>17398</v>
      </c>
      <c r="G232" s="140"/>
      <c r="H232" s="140">
        <v>11603</v>
      </c>
      <c r="I232" s="140">
        <v>5795</v>
      </c>
      <c r="J232" s="140"/>
      <c r="K232" s="140"/>
      <c r="L232" s="140"/>
      <c r="M232" s="140"/>
      <c r="N232" s="140"/>
      <c r="O232" s="140"/>
      <c r="P232" s="140"/>
    </row>
    <row r="233" spans="1:16" ht="15" customHeight="1">
      <c r="A233" s="141" t="s">
        <v>164</v>
      </c>
      <c r="B233" s="135">
        <f>SUM(C233+F233,L233:P233)</f>
        <v>475348</v>
      </c>
      <c r="C233" s="136">
        <f>D233+E233</f>
        <v>439738</v>
      </c>
      <c r="D233" s="136">
        <f>116483+128878+29498+3877+72336+4563</f>
        <v>355635</v>
      </c>
      <c r="E233" s="136">
        <f>27687+30402+915+6958+17064+1077</f>
        <v>84103</v>
      </c>
      <c r="F233" s="140">
        <f t="shared" si="29"/>
        <v>33573</v>
      </c>
      <c r="G233" s="140">
        <v>0</v>
      </c>
      <c r="H233" s="140">
        <v>11302</v>
      </c>
      <c r="I233" s="140">
        <f>21031+I234</f>
        <v>22031</v>
      </c>
      <c r="J233" s="140">
        <v>55</v>
      </c>
      <c r="K233" s="140">
        <v>185</v>
      </c>
      <c r="L233" s="140"/>
      <c r="M233" s="140"/>
      <c r="N233" s="140">
        <f>168+N234</f>
        <v>2037</v>
      </c>
      <c r="O233" s="140"/>
      <c r="P233" s="140"/>
    </row>
    <row r="234" spans="1:16" ht="15" customHeight="1">
      <c r="A234" s="226" t="s">
        <v>836</v>
      </c>
      <c r="B234" s="135">
        <f>F234+N234</f>
        <v>2869</v>
      </c>
      <c r="C234" s="136"/>
      <c r="D234" s="136"/>
      <c r="E234" s="136"/>
      <c r="F234" s="140">
        <f>I234</f>
        <v>1000</v>
      </c>
      <c r="G234" s="140"/>
      <c r="H234" s="140"/>
      <c r="I234" s="140">
        <v>1000</v>
      </c>
      <c r="J234" s="140"/>
      <c r="K234" s="140"/>
      <c r="L234" s="140"/>
      <c r="M234" s="140"/>
      <c r="N234" s="140">
        <v>1869</v>
      </c>
      <c r="O234" s="140"/>
      <c r="P234" s="140"/>
    </row>
    <row r="235" spans="1:16" ht="15" customHeight="1">
      <c r="A235" s="141" t="s">
        <v>260</v>
      </c>
      <c r="B235" s="135">
        <f>SUM(C235+F235,L235:P235)</f>
        <v>135915</v>
      </c>
      <c r="C235" s="136">
        <f t="shared" si="28"/>
        <v>96033</v>
      </c>
      <c r="D235" s="136">
        <v>77614</v>
      </c>
      <c r="E235" s="136">
        <v>18419</v>
      </c>
      <c r="F235" s="140">
        <f t="shared" si="29"/>
        <v>39882</v>
      </c>
      <c r="G235" s="140"/>
      <c r="H235" s="140">
        <v>9257</v>
      </c>
      <c r="I235" s="140">
        <v>30575</v>
      </c>
      <c r="J235" s="140">
        <v>50</v>
      </c>
      <c r="K235" s="140"/>
      <c r="L235" s="140"/>
      <c r="M235" s="140"/>
      <c r="N235" s="140"/>
      <c r="O235" s="140"/>
      <c r="P235" s="140"/>
    </row>
    <row r="236" spans="1:16" ht="15" customHeight="1">
      <c r="A236" s="141" t="s">
        <v>48</v>
      </c>
      <c r="B236" s="135">
        <f>SUM(C236+F236,L236:P236)</f>
        <v>1004671</v>
      </c>
      <c r="C236" s="136">
        <f t="shared" si="28"/>
        <v>804743</v>
      </c>
      <c r="D236" s="136">
        <f>212945+8454+35255+407243-13152</f>
        <v>650745</v>
      </c>
      <c r="E236" s="136">
        <f>50721+1994+8317+96069-3103</f>
        <v>153998</v>
      </c>
      <c r="F236" s="140">
        <f>SUM(G236:K236)</f>
        <v>193330</v>
      </c>
      <c r="G236" s="140"/>
      <c r="H236" s="140">
        <v>63186</v>
      </c>
      <c r="I236" s="140">
        <f>127644+I237</f>
        <v>130144</v>
      </c>
      <c r="J236" s="140"/>
      <c r="K236" s="140"/>
      <c r="L236" s="140"/>
      <c r="M236" s="140"/>
      <c r="N236" s="140">
        <f>N237</f>
        <v>6598</v>
      </c>
      <c r="O236" s="140"/>
      <c r="P236" s="140"/>
    </row>
    <row r="237" spans="1:16" ht="15" customHeight="1">
      <c r="A237" s="226" t="s">
        <v>836</v>
      </c>
      <c r="B237" s="135">
        <f>F237+N237</f>
        <v>9098</v>
      </c>
      <c r="C237" s="136"/>
      <c r="D237" s="136"/>
      <c r="E237" s="136"/>
      <c r="F237" s="140">
        <f>I237</f>
        <v>2500</v>
      </c>
      <c r="G237" s="140"/>
      <c r="H237" s="140"/>
      <c r="I237" s="140">
        <v>2500</v>
      </c>
      <c r="J237" s="140"/>
      <c r="K237" s="140"/>
      <c r="L237" s="140"/>
      <c r="M237" s="140"/>
      <c r="N237" s="140">
        <v>6598</v>
      </c>
      <c r="O237" s="140"/>
      <c r="P237" s="140"/>
    </row>
    <row r="238" spans="1:16" ht="15" customHeight="1">
      <c r="A238" s="141" t="s">
        <v>742</v>
      </c>
      <c r="B238" s="135">
        <f>SUM(C238+F238,L238:P238)</f>
        <v>629761</v>
      </c>
      <c r="C238" s="136">
        <f t="shared" si="28"/>
        <v>514924</v>
      </c>
      <c r="D238" s="136">
        <f>178637+8454+209654+25076-6128</f>
        <v>415693</v>
      </c>
      <c r="E238" s="136">
        <f>43308+1994+49458+5916-1445</f>
        <v>99231</v>
      </c>
      <c r="F238" s="140">
        <f t="shared" si="29"/>
        <v>112837</v>
      </c>
      <c r="G238" s="140">
        <v>160</v>
      </c>
      <c r="H238" s="140">
        <v>35898</v>
      </c>
      <c r="I238" s="140">
        <f>73011+I239</f>
        <v>76260</v>
      </c>
      <c r="J238" s="140">
        <v>213</v>
      </c>
      <c r="K238" s="140">
        <v>306</v>
      </c>
      <c r="L238" s="140"/>
      <c r="M238" s="140"/>
      <c r="N238" s="140">
        <f>N239</f>
        <v>2000</v>
      </c>
      <c r="O238" s="140"/>
      <c r="P238" s="140"/>
    </row>
    <row r="239" spans="1:16" ht="15" customHeight="1">
      <c r="A239" s="226" t="s">
        <v>836</v>
      </c>
      <c r="B239" s="135">
        <f>F239+N239</f>
        <v>5249</v>
      </c>
      <c r="C239" s="136"/>
      <c r="D239" s="136"/>
      <c r="E239" s="136"/>
      <c r="F239" s="140">
        <f>I239</f>
        <v>3249</v>
      </c>
      <c r="G239" s="140"/>
      <c r="H239" s="140"/>
      <c r="I239" s="140">
        <v>3249</v>
      </c>
      <c r="J239" s="140"/>
      <c r="K239" s="140"/>
      <c r="L239" s="140"/>
      <c r="M239" s="140"/>
      <c r="N239" s="140">
        <v>2000</v>
      </c>
      <c r="O239" s="140"/>
      <c r="P239" s="140"/>
    </row>
    <row r="240" spans="1:16" ht="30" customHeight="1">
      <c r="A240" s="141" t="s">
        <v>59</v>
      </c>
      <c r="B240" s="135">
        <f>SUM(C240+F240,L240:P240)</f>
        <v>888007</v>
      </c>
      <c r="C240" s="136">
        <f t="shared" si="28"/>
        <v>705005</v>
      </c>
      <c r="D240" s="136">
        <f>148405+51888+8803+224911+147261-11394</f>
        <v>569874</v>
      </c>
      <c r="E240" s="136">
        <f>35706+12240+2077+53057+34739-2688</f>
        <v>135131</v>
      </c>
      <c r="F240" s="140">
        <f t="shared" si="29"/>
        <v>169836</v>
      </c>
      <c r="G240" s="140">
        <v>250</v>
      </c>
      <c r="H240" s="140">
        <v>82639</v>
      </c>
      <c r="I240" s="140">
        <f>83938+I241</f>
        <v>86831</v>
      </c>
      <c r="J240" s="140"/>
      <c r="K240" s="140">
        <v>116</v>
      </c>
      <c r="L240" s="140"/>
      <c r="M240" s="140"/>
      <c r="N240" s="140">
        <f>N241</f>
        <v>2566</v>
      </c>
      <c r="O240" s="140">
        <v>10600</v>
      </c>
      <c r="P240" s="140"/>
    </row>
    <row r="241" spans="1:16" ht="30" customHeight="1">
      <c r="A241" s="226" t="s">
        <v>836</v>
      </c>
      <c r="B241" s="135">
        <f>F241+N241</f>
        <v>5459</v>
      </c>
      <c r="C241" s="136"/>
      <c r="D241" s="136"/>
      <c r="E241" s="136"/>
      <c r="F241" s="140">
        <f>I241</f>
        <v>2893</v>
      </c>
      <c r="G241" s="140"/>
      <c r="H241" s="140"/>
      <c r="I241" s="140">
        <v>2893</v>
      </c>
      <c r="J241" s="140"/>
      <c r="K241" s="140"/>
      <c r="L241" s="140"/>
      <c r="M241" s="140"/>
      <c r="N241" s="140">
        <v>2566</v>
      </c>
      <c r="O241" s="140"/>
      <c r="P241" s="140"/>
    </row>
    <row r="242" spans="1:16" ht="45" customHeight="1">
      <c r="A242" s="141" t="s">
        <v>711</v>
      </c>
      <c r="B242" s="135">
        <f>SUM(C242+F242,L242:P242)</f>
        <v>104447</v>
      </c>
      <c r="C242" s="136">
        <f t="shared" si="28"/>
        <v>48282</v>
      </c>
      <c r="D242" s="136">
        <f>44329-7388</f>
        <v>36941</v>
      </c>
      <c r="E242" s="136">
        <f>13084-1743</f>
        <v>11341</v>
      </c>
      <c r="F242" s="140">
        <f t="shared" si="29"/>
        <v>56165</v>
      </c>
      <c r="G242" s="140">
        <v>40</v>
      </c>
      <c r="H242" s="140">
        <f>48280+6255</f>
        <v>54535</v>
      </c>
      <c r="I242" s="140">
        <v>1590</v>
      </c>
      <c r="J242" s="140"/>
      <c r="K242" s="140"/>
      <c r="L242" s="140"/>
      <c r="M242" s="140"/>
      <c r="N242" s="140"/>
      <c r="O242" s="140"/>
      <c r="P242" s="140"/>
    </row>
    <row r="243" spans="1:16" ht="15" customHeight="1">
      <c r="A243" s="141" t="s">
        <v>171</v>
      </c>
      <c r="B243" s="135">
        <f>SUM(C243+F243,L243:P243)</f>
        <v>443968</v>
      </c>
      <c r="C243" s="136">
        <f t="shared" si="28"/>
        <v>350880</v>
      </c>
      <c r="D243" s="136">
        <f>95944+30680+48392+39720+75462-6546</f>
        <v>283652</v>
      </c>
      <c r="E243" s="136">
        <f>22948+7237+11416+9370+17802-1545</f>
        <v>67228</v>
      </c>
      <c r="F243" s="140">
        <f t="shared" si="29"/>
        <v>89188</v>
      </c>
      <c r="G243" s="140"/>
      <c r="H243" s="140">
        <f>23526+3327+720</f>
        <v>27573</v>
      </c>
      <c r="I243" s="140">
        <f>43735+350+15133+I244</f>
        <v>61057</v>
      </c>
      <c r="J243" s="140"/>
      <c r="K243" s="140">
        <v>558</v>
      </c>
      <c r="L243" s="140"/>
      <c r="M243" s="140"/>
      <c r="N243" s="140">
        <f>1400+N244</f>
        <v>3900</v>
      </c>
      <c r="O243" s="140"/>
      <c r="P243" s="140"/>
    </row>
    <row r="244" spans="1:16" ht="15" customHeight="1">
      <c r="A244" s="226" t="s">
        <v>836</v>
      </c>
      <c r="B244" s="135">
        <f>F244+N244</f>
        <v>4339</v>
      </c>
      <c r="C244" s="136"/>
      <c r="D244" s="136"/>
      <c r="E244" s="136"/>
      <c r="F244" s="140">
        <f>I244</f>
        <v>1839</v>
      </c>
      <c r="G244" s="140"/>
      <c r="H244" s="140"/>
      <c r="I244" s="140">
        <v>1839</v>
      </c>
      <c r="J244" s="140"/>
      <c r="K244" s="140"/>
      <c r="L244" s="140"/>
      <c r="M244" s="140"/>
      <c r="N244" s="140">
        <v>2500</v>
      </c>
      <c r="O244" s="140"/>
      <c r="P244" s="140"/>
    </row>
    <row r="245" spans="1:16" ht="15.75" customHeight="1">
      <c r="A245" s="141" t="s">
        <v>163</v>
      </c>
      <c r="B245" s="135">
        <f>SUM(C245+F245,L245:P245)</f>
        <v>658047</v>
      </c>
      <c r="C245" s="136">
        <f t="shared" si="28"/>
        <v>558387</v>
      </c>
      <c r="D245" s="136">
        <f>158345+59529+31491+138891+62186+5638-4612</f>
        <v>451468</v>
      </c>
      <c r="E245" s="136">
        <f>37770+14043+7429+32765+14670+1330-1088</f>
        <v>106919</v>
      </c>
      <c r="F245" s="140">
        <f>SUM(G245:K245)</f>
        <v>97360</v>
      </c>
      <c r="G245" s="140"/>
      <c r="H245" s="140">
        <v>24232</v>
      </c>
      <c r="I245" s="140">
        <f>70509+I246</f>
        <v>72918</v>
      </c>
      <c r="J245" s="140"/>
      <c r="K245" s="140">
        <v>210</v>
      </c>
      <c r="L245" s="140"/>
      <c r="M245" s="140"/>
      <c r="N245" s="140">
        <f>300+N246</f>
        <v>2300</v>
      </c>
      <c r="O245" s="140"/>
      <c r="P245" s="140"/>
    </row>
    <row r="246" spans="1:16" ht="15.75" customHeight="1">
      <c r="A246" s="228" t="s">
        <v>836</v>
      </c>
      <c r="B246" s="135">
        <f>F246+N246</f>
        <v>4409</v>
      </c>
      <c r="C246" s="136"/>
      <c r="D246" s="136"/>
      <c r="E246" s="136"/>
      <c r="F246" s="140">
        <f>I246</f>
        <v>2409</v>
      </c>
      <c r="G246" s="140"/>
      <c r="H246" s="140"/>
      <c r="I246" s="140">
        <v>2409</v>
      </c>
      <c r="J246" s="140"/>
      <c r="K246" s="140"/>
      <c r="L246" s="140"/>
      <c r="M246" s="140"/>
      <c r="N246" s="140">
        <v>2000</v>
      </c>
      <c r="O246" s="140"/>
      <c r="P246" s="140"/>
    </row>
    <row r="247" spans="1:16" ht="15" customHeight="1">
      <c r="A247" s="147" t="s">
        <v>175</v>
      </c>
      <c r="B247" s="135">
        <f>SUM(C247+F247,L247:P247)</f>
        <v>783189</v>
      </c>
      <c r="C247" s="145">
        <f t="shared" si="28"/>
        <v>652824</v>
      </c>
      <c r="D247" s="145">
        <f>207321+17050+67501+7399+196165+38741-6684</f>
        <v>527493</v>
      </c>
      <c r="E247" s="145">
        <f>49804+4022+15923+1745+46275+9139-1577</f>
        <v>125331</v>
      </c>
      <c r="F247" s="140">
        <f t="shared" si="29"/>
        <v>126365</v>
      </c>
      <c r="G247" s="182">
        <v>160</v>
      </c>
      <c r="H247" s="182">
        <v>37273</v>
      </c>
      <c r="I247" s="182">
        <f>85583+I248</f>
        <v>88882</v>
      </c>
      <c r="J247" s="182">
        <v>50</v>
      </c>
      <c r="K247" s="182"/>
      <c r="L247" s="182"/>
      <c r="M247" s="182"/>
      <c r="N247" s="182">
        <f>1000+N248</f>
        <v>4000</v>
      </c>
      <c r="O247" s="182"/>
      <c r="P247" s="182"/>
    </row>
    <row r="248" spans="1:16" ht="15" customHeight="1">
      <c r="A248" s="227" t="s">
        <v>836</v>
      </c>
      <c r="B248" s="135">
        <f>F248+N248</f>
        <v>6299</v>
      </c>
      <c r="C248" s="145"/>
      <c r="D248" s="145"/>
      <c r="E248" s="145"/>
      <c r="F248" s="140">
        <f>I248</f>
        <v>3299</v>
      </c>
      <c r="G248" s="182"/>
      <c r="H248" s="182"/>
      <c r="I248" s="182">
        <v>3299</v>
      </c>
      <c r="J248" s="182"/>
      <c r="K248" s="182"/>
      <c r="L248" s="182"/>
      <c r="M248" s="182"/>
      <c r="N248" s="182">
        <v>3000</v>
      </c>
      <c r="O248" s="182"/>
      <c r="P248" s="182"/>
    </row>
    <row r="249" spans="1:16" ht="15" customHeight="1">
      <c r="A249" s="138" t="s">
        <v>49</v>
      </c>
      <c r="B249" s="135">
        <f t="shared" si="30" ref="B249:B271">SUM(C249+F249,L249:P249)</f>
        <v>518253</v>
      </c>
      <c r="C249" s="136">
        <f t="shared" si="28"/>
        <v>486910</v>
      </c>
      <c r="D249" s="136">
        <v>394927</v>
      </c>
      <c r="E249" s="136">
        <v>91983</v>
      </c>
      <c r="F249" s="140">
        <f t="shared" si="29"/>
        <v>29503</v>
      </c>
      <c r="G249" s="140">
        <v>1520</v>
      </c>
      <c r="H249" s="140">
        <v>19736</v>
      </c>
      <c r="I249" s="140">
        <v>8079</v>
      </c>
      <c r="J249" s="140"/>
      <c r="K249" s="140">
        <v>168</v>
      </c>
      <c r="L249" s="140"/>
      <c r="M249" s="140"/>
      <c r="N249" s="140">
        <v>1840</v>
      </c>
      <c r="O249" s="140"/>
      <c r="P249" s="140">
        <v>0</v>
      </c>
    </row>
    <row r="250" spans="1:16" ht="15" customHeight="1">
      <c r="A250" s="141" t="s">
        <v>50</v>
      </c>
      <c r="B250" s="135">
        <f t="shared" si="30"/>
        <v>197746</v>
      </c>
      <c r="C250" s="136">
        <f t="shared" si="28"/>
        <v>171685</v>
      </c>
      <c r="D250" s="136">
        <v>137865</v>
      </c>
      <c r="E250" s="136">
        <v>33820</v>
      </c>
      <c r="F250" s="140">
        <f t="shared" si="29"/>
        <v>24861</v>
      </c>
      <c r="G250" s="140">
        <v>106</v>
      </c>
      <c r="H250" s="140">
        <v>13037</v>
      </c>
      <c r="I250" s="140">
        <v>11718</v>
      </c>
      <c r="J250" s="140"/>
      <c r="K250" s="140"/>
      <c r="L250" s="140"/>
      <c r="M250" s="140"/>
      <c r="N250" s="140">
        <v>1200</v>
      </c>
      <c r="O250" s="140"/>
      <c r="P250" s="140"/>
    </row>
    <row r="251" spans="1:16" ht="15" customHeight="1">
      <c r="A251" s="153" t="s">
        <v>170</v>
      </c>
      <c r="B251" s="135">
        <f t="shared" si="30"/>
        <v>172520</v>
      </c>
      <c r="C251" s="136">
        <f t="shared" si="28"/>
        <v>155037</v>
      </c>
      <c r="D251" s="136">
        <v>125197</v>
      </c>
      <c r="E251" s="136">
        <v>29840</v>
      </c>
      <c r="F251" s="140">
        <f t="shared" si="29"/>
        <v>15893</v>
      </c>
      <c r="G251" s="140">
        <v>120</v>
      </c>
      <c r="H251" s="140">
        <v>8485</v>
      </c>
      <c r="I251" s="140">
        <v>7215</v>
      </c>
      <c r="J251" s="140">
        <v>73</v>
      </c>
      <c r="K251" s="140"/>
      <c r="L251" s="140"/>
      <c r="M251" s="140"/>
      <c r="N251" s="140">
        <v>1590</v>
      </c>
      <c r="O251" s="140"/>
      <c r="P251" s="131"/>
    </row>
    <row r="252" spans="1:16" ht="15" customHeight="1">
      <c r="A252" s="141" t="s">
        <v>162</v>
      </c>
      <c r="B252" s="135">
        <f t="shared" si="30"/>
        <v>149994</v>
      </c>
      <c r="C252" s="155">
        <f t="shared" si="28"/>
        <v>143639</v>
      </c>
      <c r="D252" s="136">
        <v>116075</v>
      </c>
      <c r="E252" s="136">
        <v>27564</v>
      </c>
      <c r="F252" s="140">
        <f t="shared" si="29"/>
        <v>5555</v>
      </c>
      <c r="G252" s="140">
        <v>130</v>
      </c>
      <c r="H252" s="140">
        <v>2040</v>
      </c>
      <c r="I252" s="140">
        <v>3385</v>
      </c>
      <c r="J252" s="140"/>
      <c r="K252" s="140"/>
      <c r="L252" s="140"/>
      <c r="M252" s="140"/>
      <c r="N252" s="140">
        <v>800</v>
      </c>
      <c r="O252" s="140"/>
      <c r="P252" s="140">
        <v>0</v>
      </c>
    </row>
    <row r="253" spans="1:16" ht="15" customHeight="1">
      <c r="A253" s="141" t="s">
        <v>51</v>
      </c>
      <c r="B253" s="135">
        <f t="shared" si="30"/>
        <v>650011</v>
      </c>
      <c r="C253" s="155">
        <f t="shared" si="28"/>
        <v>576265</v>
      </c>
      <c r="D253" s="136">
        <v>461518</v>
      </c>
      <c r="E253" s="136">
        <v>114747</v>
      </c>
      <c r="F253" s="140">
        <f t="shared" si="29"/>
        <v>73746</v>
      </c>
      <c r="G253" s="140">
        <v>13000</v>
      </c>
      <c r="H253" s="140">
        <v>24966</v>
      </c>
      <c r="I253" s="140">
        <v>35180</v>
      </c>
      <c r="J253" s="140"/>
      <c r="K253" s="140">
        <v>600</v>
      </c>
      <c r="L253" s="140"/>
      <c r="M253" s="140"/>
      <c r="N253" s="140">
        <v>0</v>
      </c>
      <c r="O253" s="140"/>
      <c r="P253" s="140"/>
    </row>
    <row r="254" spans="1:16" ht="15" customHeight="1">
      <c r="A254" s="141" t="s">
        <v>58</v>
      </c>
      <c r="B254" s="135">
        <f t="shared" si="30"/>
        <v>224247</v>
      </c>
      <c r="C254" s="136">
        <f t="shared" si="28"/>
        <v>90094</v>
      </c>
      <c r="D254" s="136">
        <v>70175</v>
      </c>
      <c r="E254" s="136">
        <v>19919</v>
      </c>
      <c r="F254" s="140">
        <f t="shared" si="31" ref="F254:F269">SUM(G254:K254)</f>
        <v>134153</v>
      </c>
      <c r="G254" s="140"/>
      <c r="H254" s="140">
        <v>122405</v>
      </c>
      <c r="I254" s="140">
        <v>11748</v>
      </c>
      <c r="J254" s="140"/>
      <c r="K254" s="140"/>
      <c r="L254" s="140"/>
      <c r="M254" s="140"/>
      <c r="N254" s="140"/>
      <c r="O254" s="140"/>
      <c r="P254" s="140"/>
    </row>
    <row r="255" spans="1:16" ht="30" customHeight="1">
      <c r="A255" s="141" t="s">
        <v>238</v>
      </c>
      <c r="B255" s="135">
        <f t="shared" si="30"/>
        <v>267496</v>
      </c>
      <c r="C255" s="136">
        <f t="shared" si="28"/>
        <v>223565</v>
      </c>
      <c r="D255" s="136">
        <f>130124+21778+28979</f>
        <v>180881</v>
      </c>
      <c r="E255" s="136">
        <f>30710+5138+6836</f>
        <v>42684</v>
      </c>
      <c r="F255" s="140">
        <f t="shared" si="31"/>
        <v>43931</v>
      </c>
      <c r="G255" s="140">
        <v>300</v>
      </c>
      <c r="H255" s="140">
        <v>27551</v>
      </c>
      <c r="I255" s="140">
        <v>16080</v>
      </c>
      <c r="J255" s="140"/>
      <c r="K255" s="140"/>
      <c r="L255" s="140"/>
      <c r="M255" s="140"/>
      <c r="N255" s="140"/>
      <c r="O255" s="140"/>
      <c r="P255" s="140"/>
    </row>
    <row r="256" spans="1:16" ht="15" customHeight="1">
      <c r="A256" s="141" t="s">
        <v>169</v>
      </c>
      <c r="B256" s="135">
        <f t="shared" si="30"/>
        <v>245793</v>
      </c>
      <c r="C256" s="136">
        <f t="shared" si="28"/>
        <v>236740</v>
      </c>
      <c r="D256" s="136">
        <v>192440</v>
      </c>
      <c r="E256" s="136">
        <v>44300</v>
      </c>
      <c r="F256" s="140">
        <f t="shared" si="31"/>
        <v>9053</v>
      </c>
      <c r="G256" s="140">
        <v>440</v>
      </c>
      <c r="H256" s="140">
        <v>3533</v>
      </c>
      <c r="I256" s="140">
        <v>4930</v>
      </c>
      <c r="J256" s="140"/>
      <c r="K256" s="140">
        <v>150</v>
      </c>
      <c r="L256" s="140"/>
      <c r="M256" s="140"/>
      <c r="N256" s="140">
        <v>0</v>
      </c>
      <c r="O256" s="140"/>
      <c r="P256" s="140">
        <v>0</v>
      </c>
    </row>
    <row r="257" spans="1:16" ht="15" customHeight="1">
      <c r="A257" s="141" t="s">
        <v>177</v>
      </c>
      <c r="B257" s="135">
        <f t="shared" si="30"/>
        <v>56980</v>
      </c>
      <c r="C257" s="136">
        <f t="shared" si="28"/>
        <v>8560</v>
      </c>
      <c r="D257" s="136">
        <v>8560</v>
      </c>
      <c r="E257" s="156"/>
      <c r="F257" s="140">
        <f t="shared" si="31"/>
        <v>39420</v>
      </c>
      <c r="G257" s="140">
        <v>1120</v>
      </c>
      <c r="H257" s="140">
        <v>4030</v>
      </c>
      <c r="I257" s="140">
        <v>34270</v>
      </c>
      <c r="J257" s="140"/>
      <c r="K257" s="140"/>
      <c r="L257" s="140"/>
      <c r="M257" s="140"/>
      <c r="N257" s="140"/>
      <c r="O257" s="140">
        <v>9000</v>
      </c>
      <c r="P257" s="140"/>
    </row>
    <row r="258" spans="1:16" ht="22.5" customHeight="1">
      <c r="A258" s="141" t="s">
        <v>67</v>
      </c>
      <c r="B258" s="135">
        <f t="shared" si="30"/>
        <v>12789</v>
      </c>
      <c r="C258" s="136"/>
      <c r="D258" s="136"/>
      <c r="E258" s="136"/>
      <c r="F258" s="140">
        <f t="shared" si="31"/>
        <v>12789</v>
      </c>
      <c r="G258" s="140"/>
      <c r="H258" s="140">
        <v>12789</v>
      </c>
      <c r="I258" s="140"/>
      <c r="J258" s="140"/>
      <c r="K258" s="140"/>
      <c r="L258" s="140"/>
      <c r="M258" s="140"/>
      <c r="N258" s="140"/>
      <c r="O258" s="140"/>
      <c r="P258" s="140"/>
    </row>
    <row r="259" spans="1:16" ht="30" customHeight="1">
      <c r="A259" s="134" t="s">
        <v>210</v>
      </c>
      <c r="B259" s="135">
        <f t="shared" si="30"/>
        <v>19080</v>
      </c>
      <c r="C259" s="136">
        <f t="shared" si="32" ref="C259:C265">D259+E259</f>
        <v>7617</v>
      </c>
      <c r="D259" s="136">
        <v>6163</v>
      </c>
      <c r="E259" s="136">
        <v>1454</v>
      </c>
      <c r="F259" s="140">
        <f t="shared" si="31"/>
        <v>11463</v>
      </c>
      <c r="G259" s="140"/>
      <c r="H259" s="140">
        <v>5537</v>
      </c>
      <c r="I259" s="140">
        <v>5670</v>
      </c>
      <c r="J259" s="140"/>
      <c r="K259" s="140">
        <v>256</v>
      </c>
      <c r="L259" s="140"/>
      <c r="M259" s="140"/>
      <c r="N259" s="140"/>
      <c r="O259" s="140"/>
      <c r="P259" s="131"/>
    </row>
    <row r="260" spans="1:16" ht="30" customHeight="1">
      <c r="A260" s="141" t="s">
        <v>195</v>
      </c>
      <c r="B260" s="135">
        <f t="shared" si="30"/>
        <v>20934</v>
      </c>
      <c r="C260" s="136">
        <f>D260+E260</f>
        <v>14313</v>
      </c>
      <c r="D260" s="136">
        <v>11604</v>
      </c>
      <c r="E260" s="136">
        <v>2709</v>
      </c>
      <c r="F260" s="140">
        <f t="shared" si="31"/>
        <v>6621</v>
      </c>
      <c r="G260" s="140">
        <v>24</v>
      </c>
      <c r="H260" s="140">
        <v>3619</v>
      </c>
      <c r="I260" s="140">
        <v>2858</v>
      </c>
      <c r="J260" s="140"/>
      <c r="K260" s="140">
        <v>120</v>
      </c>
      <c r="L260" s="140"/>
      <c r="M260" s="140"/>
      <c r="N260" s="140"/>
      <c r="O260" s="140"/>
      <c r="P260" s="140"/>
    </row>
    <row r="261" spans="1:16" ht="30" customHeight="1">
      <c r="A261" s="138" t="s">
        <v>196</v>
      </c>
      <c r="B261" s="135">
        <f t="shared" si="30"/>
        <v>23077</v>
      </c>
      <c r="C261" s="136">
        <f t="shared" si="32"/>
        <v>14717</v>
      </c>
      <c r="D261" s="136">
        <f>11808+100</f>
        <v>11908</v>
      </c>
      <c r="E261" s="136">
        <v>2809</v>
      </c>
      <c r="F261" s="140">
        <f t="shared" si="31"/>
        <v>8360</v>
      </c>
      <c r="G261" s="140">
        <v>80</v>
      </c>
      <c r="H261" s="140">
        <v>3660</v>
      </c>
      <c r="I261" s="140">
        <v>4500</v>
      </c>
      <c r="J261" s="140"/>
      <c r="K261" s="140">
        <v>120</v>
      </c>
      <c r="L261" s="140"/>
      <c r="M261" s="140"/>
      <c r="N261" s="140">
        <v>0</v>
      </c>
      <c r="O261" s="140"/>
      <c r="P261" s="140"/>
    </row>
    <row r="262" spans="1:16" ht="30" customHeight="1">
      <c r="A262" s="138" t="s">
        <v>192</v>
      </c>
      <c r="B262" s="135">
        <f t="shared" si="30"/>
        <v>27334</v>
      </c>
      <c r="C262" s="136">
        <f t="shared" si="32"/>
        <v>12795</v>
      </c>
      <c r="D262" s="136">
        <v>10272</v>
      </c>
      <c r="E262" s="136">
        <f>2423+100</f>
        <v>2523</v>
      </c>
      <c r="F262" s="140">
        <f t="shared" si="31"/>
        <v>14539</v>
      </c>
      <c r="G262" s="140"/>
      <c r="H262" s="140">
        <v>5306</v>
      </c>
      <c r="I262" s="140">
        <v>9130</v>
      </c>
      <c r="J262" s="140"/>
      <c r="K262" s="140">
        <v>103</v>
      </c>
      <c r="L262" s="140"/>
      <c r="M262" s="140"/>
      <c r="N262" s="140"/>
      <c r="O262" s="140"/>
      <c r="P262" s="140"/>
    </row>
    <row r="263" spans="1:16" ht="30" customHeight="1">
      <c r="A263" s="138" t="s">
        <v>213</v>
      </c>
      <c r="B263" s="135">
        <f t="shared" si="30"/>
        <v>24564</v>
      </c>
      <c r="C263" s="136">
        <f t="shared" si="32"/>
        <v>13036</v>
      </c>
      <c r="D263" s="136">
        <v>10548</v>
      </c>
      <c r="E263" s="136">
        <v>2488</v>
      </c>
      <c r="F263" s="140">
        <f t="shared" si="31"/>
        <v>11528</v>
      </c>
      <c r="G263" s="140">
        <v>120</v>
      </c>
      <c r="H263" s="140">
        <v>2748</v>
      </c>
      <c r="I263" s="140">
        <v>8540</v>
      </c>
      <c r="J263" s="140"/>
      <c r="K263" s="140">
        <v>120</v>
      </c>
      <c r="L263" s="140"/>
      <c r="M263" s="140"/>
      <c r="N263" s="140"/>
      <c r="O263" s="140"/>
      <c r="P263" s="140"/>
    </row>
    <row r="264" spans="1:16" ht="30" customHeight="1">
      <c r="A264" s="138" t="s">
        <v>194</v>
      </c>
      <c r="B264" s="135">
        <f t="shared" si="30"/>
        <v>21750</v>
      </c>
      <c r="C264" s="136">
        <f t="shared" si="32"/>
        <v>12117</v>
      </c>
      <c r="D264" s="136">
        <v>9804</v>
      </c>
      <c r="E264" s="136">
        <v>2313</v>
      </c>
      <c r="F264" s="140">
        <f t="shared" si="31"/>
        <v>9633</v>
      </c>
      <c r="G264" s="140">
        <v>180</v>
      </c>
      <c r="H264" s="140">
        <v>5083</v>
      </c>
      <c r="I264" s="140">
        <v>4250</v>
      </c>
      <c r="J264" s="140"/>
      <c r="K264" s="140">
        <v>120</v>
      </c>
      <c r="L264" s="140"/>
      <c r="M264" s="140"/>
      <c r="N264" s="140"/>
      <c r="O264" s="140"/>
      <c r="P264" s="140"/>
    </row>
    <row r="265" spans="1:16" ht="30" customHeight="1">
      <c r="A265" s="143" t="s">
        <v>202</v>
      </c>
      <c r="B265" s="135">
        <f t="shared" si="30"/>
        <v>94630</v>
      </c>
      <c r="C265" s="144">
        <f t="shared" si="32"/>
        <v>40070</v>
      </c>
      <c r="D265" s="145">
        <v>31098</v>
      </c>
      <c r="E265" s="150">
        <v>8972</v>
      </c>
      <c r="F265" s="140">
        <f t="shared" si="31"/>
        <v>54560</v>
      </c>
      <c r="G265" s="178">
        <v>240</v>
      </c>
      <c r="H265" s="178">
        <v>12160</v>
      </c>
      <c r="I265" s="178">
        <v>41700</v>
      </c>
      <c r="J265" s="178"/>
      <c r="K265" s="178">
        <v>460</v>
      </c>
      <c r="L265" s="178"/>
      <c r="M265" s="178"/>
      <c r="N265" s="178"/>
      <c r="O265" s="178"/>
      <c r="P265" s="178"/>
    </row>
    <row r="266" spans="1:16" ht="30" customHeight="1">
      <c r="A266" s="138" t="s">
        <v>739</v>
      </c>
      <c r="B266" s="135">
        <f t="shared" si="30"/>
        <v>23705</v>
      </c>
      <c r="C266" s="136">
        <f t="shared" si="33" ref="C266:C271">D266+E266</f>
        <v>19555</v>
      </c>
      <c r="D266" s="136">
        <v>15822</v>
      </c>
      <c r="E266" s="136">
        <v>3733</v>
      </c>
      <c r="F266" s="140">
        <f t="shared" si="31"/>
        <v>4150</v>
      </c>
      <c r="G266" s="140">
        <v>32</v>
      </c>
      <c r="H266" s="140">
        <v>1953</v>
      </c>
      <c r="I266" s="140">
        <v>1995</v>
      </c>
      <c r="J266" s="140"/>
      <c r="K266" s="140">
        <v>170</v>
      </c>
      <c r="L266" s="140"/>
      <c r="M266" s="140"/>
      <c r="N266" s="140"/>
      <c r="O266" s="140"/>
      <c r="P266" s="140"/>
    </row>
    <row r="267" spans="1:16" ht="30" customHeight="1">
      <c r="A267" s="138" t="s">
        <v>161</v>
      </c>
      <c r="B267" s="135">
        <f t="shared" si="30"/>
        <v>28644</v>
      </c>
      <c r="C267" s="136">
        <f t="shared" si="33"/>
        <v>12117</v>
      </c>
      <c r="D267" s="136">
        <v>9804</v>
      </c>
      <c r="E267" s="136">
        <v>2313</v>
      </c>
      <c r="F267" s="140">
        <f t="shared" si="31"/>
        <v>16527</v>
      </c>
      <c r="G267" s="140">
        <v>40</v>
      </c>
      <c r="H267" s="140">
        <v>6099</v>
      </c>
      <c r="I267" s="140">
        <v>10232</v>
      </c>
      <c r="J267" s="140"/>
      <c r="K267" s="140">
        <v>156</v>
      </c>
      <c r="L267" s="140"/>
      <c r="M267" s="140"/>
      <c r="N267" s="140"/>
      <c r="O267" s="140"/>
      <c r="P267" s="140"/>
    </row>
    <row r="268" spans="1:16" ht="20.25" customHeight="1">
      <c r="A268" s="138" t="s">
        <v>215</v>
      </c>
      <c r="B268" s="135">
        <f t="shared" si="30"/>
        <v>35852</v>
      </c>
      <c r="C268" s="136">
        <f t="shared" si="33"/>
        <v>23084</v>
      </c>
      <c r="D268" s="136">
        <f>18648+30</f>
        <v>18678</v>
      </c>
      <c r="E268" s="136">
        <v>4406</v>
      </c>
      <c r="F268" s="140">
        <f t="shared" si="31"/>
        <v>12696</v>
      </c>
      <c r="G268" s="140"/>
      <c r="H268" s="140">
        <v>6301</v>
      </c>
      <c r="I268" s="140">
        <v>5995</v>
      </c>
      <c r="J268" s="140"/>
      <c r="K268" s="140">
        <v>400</v>
      </c>
      <c r="L268" s="140"/>
      <c r="M268" s="140"/>
      <c r="N268" s="140">
        <v>72</v>
      </c>
      <c r="O268" s="140"/>
      <c r="P268" s="140"/>
    </row>
    <row r="269" spans="1:16" ht="30" customHeight="1">
      <c r="A269" s="138" t="s">
        <v>209</v>
      </c>
      <c r="B269" s="135">
        <f t="shared" si="30"/>
        <v>21643</v>
      </c>
      <c r="C269" s="136">
        <f t="shared" si="33"/>
        <v>12695</v>
      </c>
      <c r="D269" s="136">
        <v>10272</v>
      </c>
      <c r="E269" s="136">
        <v>2423</v>
      </c>
      <c r="F269" s="140">
        <f t="shared" si="31"/>
        <v>8948</v>
      </c>
      <c r="G269" s="140">
        <v>60</v>
      </c>
      <c r="H269" s="140">
        <v>3288</v>
      </c>
      <c r="I269" s="140">
        <v>5196</v>
      </c>
      <c r="J269" s="140"/>
      <c r="K269" s="140">
        <v>404</v>
      </c>
      <c r="L269" s="140"/>
      <c r="M269" s="140"/>
      <c r="N269" s="140"/>
      <c r="O269" s="140"/>
      <c r="P269" s="140"/>
    </row>
    <row r="270" spans="1:16" ht="19.5" customHeight="1">
      <c r="A270" s="138" t="s">
        <v>211</v>
      </c>
      <c r="B270" s="135">
        <f t="shared" si="30"/>
        <v>24953.98</v>
      </c>
      <c r="C270" s="136">
        <f t="shared" si="33"/>
        <v>13485.98</v>
      </c>
      <c r="D270" s="136">
        <f>10272+640</f>
        <v>10912</v>
      </c>
      <c r="E270" s="136">
        <f>2423+150.98</f>
        <v>2573.98</v>
      </c>
      <c r="F270" s="140">
        <f>SUM(G270:K270)</f>
        <v>11468</v>
      </c>
      <c r="G270" s="140"/>
      <c r="H270" s="140">
        <f>6036+902</f>
        <v>6938</v>
      </c>
      <c r="I270" s="140">
        <f>3750+558</f>
        <v>4308</v>
      </c>
      <c r="J270" s="140"/>
      <c r="K270" s="140">
        <v>222</v>
      </c>
      <c r="L270" s="140"/>
      <c r="M270" s="140"/>
      <c r="N270" s="140"/>
      <c r="O270" s="140"/>
      <c r="P270" s="140"/>
    </row>
    <row r="271" spans="1:16" ht="30" customHeight="1">
      <c r="A271" s="138" t="s">
        <v>201</v>
      </c>
      <c r="B271" s="135">
        <f t="shared" si="30"/>
        <v>28778</v>
      </c>
      <c r="C271" s="136">
        <f t="shared" si="33"/>
        <v>13160</v>
      </c>
      <c r="D271" s="136">
        <f>10548+100</f>
        <v>10648</v>
      </c>
      <c r="E271" s="136">
        <v>2512</v>
      </c>
      <c r="F271" s="140">
        <f t="shared" si="34" ref="F271:F296">SUM(G271:K271)</f>
        <v>15618</v>
      </c>
      <c r="G271" s="140">
        <v>104</v>
      </c>
      <c r="H271" s="140">
        <v>2540</v>
      </c>
      <c r="I271" s="140">
        <v>12774</v>
      </c>
      <c r="J271" s="140"/>
      <c r="K271" s="140">
        <v>200</v>
      </c>
      <c r="L271" s="140"/>
      <c r="M271" s="140"/>
      <c r="N271" s="140"/>
      <c r="O271" s="140"/>
      <c r="P271" s="140"/>
    </row>
    <row r="272" spans="1:16" ht="30" customHeight="1">
      <c r="A272" s="138" t="s">
        <v>52</v>
      </c>
      <c r="B272" s="135">
        <f>SUM(C272:F272,L272:P272)</f>
        <v>8000</v>
      </c>
      <c r="C272" s="136"/>
      <c r="D272" s="136"/>
      <c r="E272" s="136"/>
      <c r="F272" s="140">
        <f t="shared" si="34"/>
        <v>0</v>
      </c>
      <c r="G272" s="140"/>
      <c r="H272" s="140"/>
      <c r="I272" s="140"/>
      <c r="J272" s="140"/>
      <c r="K272" s="140"/>
      <c r="L272" s="140"/>
      <c r="M272" s="140"/>
      <c r="N272" s="140"/>
      <c r="O272" s="140">
        <v>8000</v>
      </c>
      <c r="P272" s="140"/>
    </row>
    <row r="273" spans="1:16" ht="30" customHeight="1">
      <c r="A273" s="137" t="s">
        <v>81</v>
      </c>
      <c r="B273" s="135">
        <f>SUM(C273+F273,L273:P273)</f>
        <v>140000</v>
      </c>
      <c r="C273" s="136"/>
      <c r="D273" s="136"/>
      <c r="E273" s="136"/>
      <c r="F273" s="140">
        <f t="shared" si="34"/>
        <v>0</v>
      </c>
      <c r="G273" s="140"/>
      <c r="H273" s="140"/>
      <c r="I273" s="140"/>
      <c r="J273" s="140"/>
      <c r="K273" s="140"/>
      <c r="L273" s="140"/>
      <c r="M273" s="140"/>
      <c r="N273" s="140"/>
      <c r="O273" s="140"/>
      <c r="P273" s="140">
        <v>140000</v>
      </c>
    </row>
    <row r="274" spans="1:16" ht="35.25" customHeight="1">
      <c r="A274" s="137" t="s">
        <v>64</v>
      </c>
      <c r="B274" s="135">
        <f>SUM(C274+F274,L274:P274)</f>
        <v>3561</v>
      </c>
      <c r="C274" s="136">
        <f>D274+E274</f>
        <v>371</v>
      </c>
      <c r="D274" s="136">
        <v>300</v>
      </c>
      <c r="E274" s="136">
        <v>71</v>
      </c>
      <c r="F274" s="140">
        <f t="shared" si="34"/>
        <v>3190</v>
      </c>
      <c r="G274" s="140"/>
      <c r="H274" s="140"/>
      <c r="I274" s="140">
        <v>3190</v>
      </c>
      <c r="J274" s="140"/>
      <c r="K274" s="140"/>
      <c r="L274" s="140"/>
      <c r="M274" s="140"/>
      <c r="N274" s="140">
        <v>0</v>
      </c>
      <c r="O274" s="140"/>
      <c r="P274" s="140"/>
    </row>
    <row r="275" spans="1:16" ht="30" customHeight="1">
      <c r="A275" s="137" t="s">
        <v>228</v>
      </c>
      <c r="B275" s="135">
        <f>SUM(C275+F275,L275:P275)</f>
        <v>26568</v>
      </c>
      <c r="C275" s="136">
        <f>D275+E275</f>
        <v>22246</v>
      </c>
      <c r="D275" s="136">
        <v>18000</v>
      </c>
      <c r="E275" s="136">
        <v>4246</v>
      </c>
      <c r="F275" s="140">
        <f t="shared" si="34"/>
        <v>4322</v>
      </c>
      <c r="G275" s="140"/>
      <c r="H275" s="140"/>
      <c r="I275" s="140">
        <v>4322</v>
      </c>
      <c r="J275" s="140"/>
      <c r="K275" s="140"/>
      <c r="L275" s="140">
        <v>0</v>
      </c>
      <c r="M275" s="140"/>
      <c r="N275" s="140"/>
      <c r="O275" s="140"/>
      <c r="P275" s="140"/>
    </row>
    <row r="276" spans="1:16" ht="30" customHeight="1">
      <c r="A276" s="138" t="s">
        <v>165</v>
      </c>
      <c r="B276" s="135">
        <f>SUM(C276+F276,L276:P276)</f>
        <v>58588</v>
      </c>
      <c r="C276" s="136">
        <f>D276+E276</f>
        <v>43280</v>
      </c>
      <c r="D276" s="136">
        <v>35000</v>
      </c>
      <c r="E276" s="136">
        <v>8280</v>
      </c>
      <c r="F276" s="140">
        <f t="shared" si="34"/>
        <v>12308</v>
      </c>
      <c r="G276" s="140"/>
      <c r="H276" s="140"/>
      <c r="I276" s="140">
        <v>12308</v>
      </c>
      <c r="J276" s="140"/>
      <c r="K276" s="140"/>
      <c r="L276" s="140"/>
      <c r="M276" s="140"/>
      <c r="N276" s="140">
        <v>3000</v>
      </c>
      <c r="O276" s="140"/>
      <c r="P276" s="140"/>
    </row>
    <row r="277" spans="1:16" ht="45" customHeight="1">
      <c r="A277" s="147" t="s">
        <v>775</v>
      </c>
      <c r="B277" s="135">
        <f>SUM(C277+F277,L277:P277)</f>
        <v>26232</v>
      </c>
      <c r="C277" s="144"/>
      <c r="D277" s="145"/>
      <c r="E277" s="150"/>
      <c r="F277" s="140">
        <f t="shared" si="34"/>
        <v>26232</v>
      </c>
      <c r="G277" s="178">
        <v>17536</v>
      </c>
      <c r="H277" s="178">
        <v>6152</v>
      </c>
      <c r="I277" s="178">
        <v>2544</v>
      </c>
      <c r="J277" s="178"/>
      <c r="K277" s="178"/>
      <c r="L277" s="178"/>
      <c r="M277" s="178"/>
      <c r="N277" s="178"/>
      <c r="O277" s="178"/>
      <c r="P277" s="178"/>
    </row>
    <row r="278" spans="1:16" ht="45" customHeight="1">
      <c r="A278" s="134" t="s">
        <v>261</v>
      </c>
      <c r="B278" s="135">
        <f>SUM(C278:F278,L278:P278)</f>
        <v>8901</v>
      </c>
      <c r="C278" s="136"/>
      <c r="D278" s="136"/>
      <c r="E278" s="136"/>
      <c r="F278" s="140">
        <f t="shared" si="34"/>
        <v>8901</v>
      </c>
      <c r="G278" s="140"/>
      <c r="H278" s="140">
        <v>8901</v>
      </c>
      <c r="I278" s="140"/>
      <c r="J278" s="140"/>
      <c r="K278" s="140"/>
      <c r="L278" s="140"/>
      <c r="M278" s="140"/>
      <c r="N278" s="140"/>
      <c r="O278" s="140"/>
      <c r="P278" s="140"/>
    </row>
    <row r="279" spans="1:16" ht="54" customHeight="1">
      <c r="A279" s="134" t="s">
        <v>773</v>
      </c>
      <c r="B279" s="135">
        <f>SUM(C279:F279,L279:P279)</f>
        <v>3555</v>
      </c>
      <c r="C279" s="136"/>
      <c r="D279" s="136"/>
      <c r="E279" s="136"/>
      <c r="F279" s="140">
        <f t="shared" si="34"/>
        <v>3555</v>
      </c>
      <c r="G279" s="140"/>
      <c r="H279" s="140">
        <v>3555</v>
      </c>
      <c r="I279" s="140"/>
      <c r="J279" s="140"/>
      <c r="K279" s="140"/>
      <c r="L279" s="140"/>
      <c r="M279" s="140"/>
      <c r="N279" s="140"/>
      <c r="O279" s="140"/>
      <c r="P279" s="140"/>
    </row>
    <row r="280" spans="1:16" ht="19.5" customHeight="1">
      <c r="A280" s="134" t="s">
        <v>254</v>
      </c>
      <c r="B280" s="135">
        <f>SUM(C280+F280,L280:P280)</f>
        <v>37317</v>
      </c>
      <c r="C280" s="136"/>
      <c r="D280" s="136"/>
      <c r="E280" s="136"/>
      <c r="F280" s="140">
        <f t="shared" si="34"/>
        <v>0</v>
      </c>
      <c r="G280" s="140"/>
      <c r="H280" s="140"/>
      <c r="I280" s="140"/>
      <c r="J280" s="140"/>
      <c r="K280" s="140"/>
      <c r="L280" s="140"/>
      <c r="M280" s="140"/>
      <c r="N280" s="140">
        <v>37317</v>
      </c>
      <c r="O280" s="140"/>
      <c r="P280" s="140"/>
    </row>
    <row r="281" spans="1:16" ht="45.75" customHeight="1">
      <c r="A281" s="134" t="s">
        <v>252</v>
      </c>
      <c r="B281" s="135">
        <f>SUM(C281+F281,L281:P281)</f>
        <v>96710</v>
      </c>
      <c r="C281" s="136"/>
      <c r="D281" s="136"/>
      <c r="E281" s="136"/>
      <c r="F281" s="140">
        <f t="shared" si="34"/>
        <v>0</v>
      </c>
      <c r="G281" s="140"/>
      <c r="H281" s="140"/>
      <c r="I281" s="140"/>
      <c r="J281" s="140"/>
      <c r="K281" s="140"/>
      <c r="L281" s="140"/>
      <c r="M281" s="140"/>
      <c r="N281" s="140">
        <v>96710</v>
      </c>
      <c r="O281" s="140"/>
      <c r="P281" s="140"/>
    </row>
    <row r="282" spans="1:16" ht="15" customHeight="1">
      <c r="A282" s="138" t="s">
        <v>54</v>
      </c>
      <c r="B282" s="135">
        <f>SUM(C282+F282,L282:P282)</f>
        <v>217845</v>
      </c>
      <c r="C282" s="136">
        <f>D282+E282</f>
        <v>195975</v>
      </c>
      <c r="D282" s="136">
        <v>156371</v>
      </c>
      <c r="E282" s="136">
        <v>39604</v>
      </c>
      <c r="F282" s="140">
        <f t="shared" si="34"/>
        <v>21870</v>
      </c>
      <c r="G282" s="140">
        <v>350</v>
      </c>
      <c r="H282" s="140">
        <v>12440</v>
      </c>
      <c r="I282" s="140">
        <v>9080</v>
      </c>
      <c r="J282" s="140"/>
      <c r="K282" s="140"/>
      <c r="L282" s="140"/>
      <c r="M282" s="140"/>
      <c r="N282" s="140"/>
      <c r="O282" s="140"/>
      <c r="P282" s="140"/>
    </row>
    <row r="283" spans="1:16" ht="15" customHeight="1">
      <c r="A283" s="141" t="s">
        <v>185</v>
      </c>
      <c r="B283" s="135">
        <f>SUM(C283+F283,L283:P283)</f>
        <v>623737</v>
      </c>
      <c r="C283" s="136">
        <f>D283+E283</f>
        <v>548793</v>
      </c>
      <c r="D283" s="136">
        <v>436806</v>
      </c>
      <c r="E283" s="136">
        <v>111987</v>
      </c>
      <c r="F283" s="140">
        <f t="shared" si="34"/>
        <v>74944</v>
      </c>
      <c r="G283" s="140">
        <v>1200</v>
      </c>
      <c r="H283" s="140">
        <v>45403</v>
      </c>
      <c r="I283" s="140">
        <v>27841</v>
      </c>
      <c r="J283" s="140"/>
      <c r="K283" s="140">
        <v>500</v>
      </c>
      <c r="L283" s="140"/>
      <c r="M283" s="140"/>
      <c r="N283" s="140"/>
      <c r="O283" s="140"/>
      <c r="P283" s="140"/>
    </row>
    <row r="284" spans="1:16" ht="15" customHeight="1">
      <c r="A284" s="141" t="s">
        <v>239</v>
      </c>
      <c r="B284" s="135">
        <f>SUM(C284+F284,L284:P284)</f>
        <v>1084000</v>
      </c>
      <c r="C284" s="136"/>
      <c r="D284" s="136"/>
      <c r="E284" s="136"/>
      <c r="F284" s="140">
        <f t="shared" si="34"/>
        <v>0</v>
      </c>
      <c r="G284" s="140"/>
      <c r="H284" s="140"/>
      <c r="I284" s="140"/>
      <c r="J284" s="140"/>
      <c r="K284" s="140"/>
      <c r="L284" s="140"/>
      <c r="M284" s="140"/>
      <c r="N284" s="140"/>
      <c r="O284" s="140">
        <v>1084000</v>
      </c>
      <c r="P284" s="140"/>
    </row>
    <row r="285" spans="1:16" ht="15" customHeight="1">
      <c r="A285" s="141" t="s">
        <v>181</v>
      </c>
      <c r="B285" s="135">
        <f>SUM(C285:F285,L285:P285)</f>
        <v>19690</v>
      </c>
      <c r="C285" s="136"/>
      <c r="D285" s="136"/>
      <c r="E285" s="136"/>
      <c r="F285" s="140">
        <f t="shared" si="34"/>
        <v>0</v>
      </c>
      <c r="G285" s="140"/>
      <c r="H285" s="140"/>
      <c r="I285" s="140"/>
      <c r="J285" s="140"/>
      <c r="K285" s="140"/>
      <c r="L285" s="140"/>
      <c r="M285" s="140"/>
      <c r="N285" s="140"/>
      <c r="O285" s="140">
        <v>19690</v>
      </c>
      <c r="P285" s="140"/>
    </row>
    <row r="286" spans="1:16" ht="15" customHeight="1">
      <c r="A286" s="141" t="s">
        <v>55</v>
      </c>
      <c r="B286" s="135">
        <f t="shared" si="35" ref="B286:B317">SUM(C286+F286,L286:P286)</f>
        <v>22137</v>
      </c>
      <c r="C286" s="136"/>
      <c r="D286" s="136"/>
      <c r="E286" s="136"/>
      <c r="F286" s="140">
        <f t="shared" si="34"/>
        <v>22137</v>
      </c>
      <c r="G286" s="140"/>
      <c r="H286" s="140">
        <v>19517</v>
      </c>
      <c r="I286" s="140">
        <v>2620</v>
      </c>
      <c r="J286" s="140"/>
      <c r="K286" s="140"/>
      <c r="L286" s="140"/>
      <c r="M286" s="140"/>
      <c r="N286" s="140"/>
      <c r="O286" s="140"/>
      <c r="P286" s="140"/>
    </row>
    <row r="287" spans="1:16" ht="15" customHeight="1">
      <c r="A287" s="141" t="s">
        <v>66</v>
      </c>
      <c r="B287" s="135">
        <f t="shared" si="35"/>
        <v>270172</v>
      </c>
      <c r="C287" s="136">
        <f>D287+E287</f>
        <v>119620</v>
      </c>
      <c r="D287" s="136">
        <v>110627</v>
      </c>
      <c r="E287" s="136">
        <v>8993</v>
      </c>
      <c r="F287" s="140">
        <f t="shared" si="34"/>
        <v>28883</v>
      </c>
      <c r="G287" s="140"/>
      <c r="H287" s="140">
        <v>27443</v>
      </c>
      <c r="I287" s="140">
        <v>1440</v>
      </c>
      <c r="J287" s="140"/>
      <c r="K287" s="140"/>
      <c r="L287" s="140"/>
      <c r="M287" s="140"/>
      <c r="N287" s="140">
        <v>3505</v>
      </c>
      <c r="O287" s="140">
        <v>118164</v>
      </c>
      <c r="P287" s="140"/>
    </row>
    <row r="288" spans="1:16" ht="15" customHeight="1">
      <c r="A288" s="141" t="s">
        <v>53</v>
      </c>
      <c r="B288" s="135">
        <f t="shared" si="35"/>
        <v>1829964</v>
      </c>
      <c r="C288" s="136">
        <f t="shared" si="36" ref="C288:C295">D288+E288</f>
        <v>1079885</v>
      </c>
      <c r="D288" s="136">
        <v>861217</v>
      </c>
      <c r="E288" s="136">
        <v>218668</v>
      </c>
      <c r="F288" s="140">
        <f t="shared" si="34"/>
        <v>744879</v>
      </c>
      <c r="G288" s="140">
        <v>500</v>
      </c>
      <c r="H288" s="140">
        <v>110365</v>
      </c>
      <c r="I288" s="140">
        <v>631334</v>
      </c>
      <c r="J288" s="140">
        <v>680</v>
      </c>
      <c r="K288" s="140">
        <v>2000</v>
      </c>
      <c r="L288" s="140"/>
      <c r="M288" s="140"/>
      <c r="N288" s="140">
        <v>3000</v>
      </c>
      <c r="O288" s="140">
        <v>2200</v>
      </c>
      <c r="P288" s="140"/>
    </row>
    <row r="289" spans="1:16" ht="15" customHeight="1">
      <c r="A289" s="141" t="s">
        <v>129</v>
      </c>
      <c r="B289" s="135">
        <f t="shared" si="35"/>
        <v>340109</v>
      </c>
      <c r="C289" s="136">
        <f t="shared" si="36"/>
        <v>231763</v>
      </c>
      <c r="D289" s="136">
        <v>196250</v>
      </c>
      <c r="E289" s="136">
        <v>35513</v>
      </c>
      <c r="F289" s="140">
        <f t="shared" si="34"/>
        <v>108346</v>
      </c>
      <c r="G289" s="140">
        <v>342</v>
      </c>
      <c r="H289" s="140">
        <v>18936</v>
      </c>
      <c r="I289" s="140">
        <v>88868</v>
      </c>
      <c r="J289" s="140">
        <v>0</v>
      </c>
      <c r="K289" s="140">
        <v>200</v>
      </c>
      <c r="L289" s="140"/>
      <c r="M289" s="140"/>
      <c r="N289" s="140"/>
      <c r="O289" s="140"/>
      <c r="P289" s="140"/>
    </row>
    <row r="290" spans="1:16" ht="15" customHeight="1">
      <c r="A290" s="137" t="s">
        <v>131</v>
      </c>
      <c r="B290" s="135">
        <f t="shared" si="35"/>
        <v>218380</v>
      </c>
      <c r="C290" s="136">
        <f t="shared" si="36"/>
        <v>148772</v>
      </c>
      <c r="D290" s="136">
        <f>116902</f>
        <v>116902</v>
      </c>
      <c r="E290" s="136">
        <v>31870</v>
      </c>
      <c r="F290" s="140">
        <f t="shared" si="34"/>
        <v>67466</v>
      </c>
      <c r="G290" s="140">
        <v>60</v>
      </c>
      <c r="H290" s="140">
        <v>20076</v>
      </c>
      <c r="I290" s="140">
        <v>47330</v>
      </c>
      <c r="J290" s="140"/>
      <c r="K290" s="140"/>
      <c r="L290" s="140"/>
      <c r="M290" s="140"/>
      <c r="N290" s="140"/>
      <c r="O290" s="140">
        <v>2142</v>
      </c>
      <c r="P290" s="140"/>
    </row>
    <row r="291" spans="1:16" ht="15" customHeight="1">
      <c r="A291" s="137" t="s">
        <v>130</v>
      </c>
      <c r="B291" s="135">
        <f t="shared" si="35"/>
        <v>305263</v>
      </c>
      <c r="C291" s="136">
        <f t="shared" si="36"/>
        <v>218750</v>
      </c>
      <c r="D291" s="136">
        <f>176675</f>
        <v>176675</v>
      </c>
      <c r="E291" s="136">
        <v>42075</v>
      </c>
      <c r="F291" s="140">
        <f t="shared" si="34"/>
        <v>83823</v>
      </c>
      <c r="G291" s="140">
        <v>60</v>
      </c>
      <c r="H291" s="140">
        <v>21173</v>
      </c>
      <c r="I291" s="140">
        <v>62364</v>
      </c>
      <c r="J291" s="140"/>
      <c r="K291" s="140">
        <v>226</v>
      </c>
      <c r="L291" s="140"/>
      <c r="M291" s="140"/>
      <c r="N291" s="140"/>
      <c r="O291" s="140">
        <v>2690</v>
      </c>
      <c r="P291" s="140"/>
    </row>
    <row r="292" spans="1:16" ht="30" customHeight="1">
      <c r="A292" s="134" t="s">
        <v>84</v>
      </c>
      <c r="B292" s="135">
        <f t="shared" si="35"/>
        <v>257427</v>
      </c>
      <c r="C292" s="136">
        <f t="shared" si="36"/>
        <v>205391</v>
      </c>
      <c r="D292" s="136">
        <v>165726</v>
      </c>
      <c r="E292" s="136">
        <v>39665</v>
      </c>
      <c r="F292" s="140">
        <f t="shared" si="34"/>
        <v>52036</v>
      </c>
      <c r="G292" s="140">
        <v>476</v>
      </c>
      <c r="H292" s="140">
        <v>40827</v>
      </c>
      <c r="I292" s="140">
        <v>10733</v>
      </c>
      <c r="J292" s="140"/>
      <c r="K292" s="140"/>
      <c r="L292" s="140"/>
      <c r="M292" s="140"/>
      <c r="N292" s="140"/>
      <c r="O292" s="140"/>
      <c r="P292" s="140"/>
    </row>
    <row r="293" spans="1:16" ht="30" customHeight="1">
      <c r="A293" s="147" t="s">
        <v>186</v>
      </c>
      <c r="B293" s="135">
        <f t="shared" si="35"/>
        <v>73881</v>
      </c>
      <c r="C293" s="157">
        <f t="shared" si="36"/>
        <v>64866</v>
      </c>
      <c r="D293" s="145">
        <v>51752</v>
      </c>
      <c r="E293" s="145">
        <v>13114</v>
      </c>
      <c r="F293" s="140">
        <f t="shared" si="34"/>
        <v>9015</v>
      </c>
      <c r="G293" s="183">
        <v>100</v>
      </c>
      <c r="H293" s="183">
        <v>2543</v>
      </c>
      <c r="I293" s="183">
        <v>6372</v>
      </c>
      <c r="J293" s="183"/>
      <c r="K293" s="183"/>
      <c r="L293" s="183"/>
      <c r="M293" s="183"/>
      <c r="N293" s="183"/>
      <c r="O293" s="183"/>
      <c r="P293" s="183"/>
    </row>
    <row r="294" spans="1:16" ht="30" customHeight="1">
      <c r="A294" s="141" t="s">
        <v>187</v>
      </c>
      <c r="B294" s="135">
        <f t="shared" si="35"/>
        <v>134929</v>
      </c>
      <c r="C294" s="136">
        <f t="shared" si="36"/>
        <v>111491</v>
      </c>
      <c r="D294" s="136">
        <v>90064</v>
      </c>
      <c r="E294" s="136">
        <v>21427</v>
      </c>
      <c r="F294" s="140">
        <f t="shared" si="34"/>
        <v>18188</v>
      </c>
      <c r="G294" s="140"/>
      <c r="H294" s="140">
        <v>6499</v>
      </c>
      <c r="I294" s="140">
        <v>11689</v>
      </c>
      <c r="J294" s="140"/>
      <c r="K294" s="140"/>
      <c r="L294" s="140"/>
      <c r="M294" s="140"/>
      <c r="N294" s="140"/>
      <c r="O294" s="140">
        <v>5250</v>
      </c>
      <c r="P294" s="140"/>
    </row>
    <row r="295" spans="1:16" ht="30" customHeight="1">
      <c r="A295" s="158" t="s">
        <v>172</v>
      </c>
      <c r="B295" s="159">
        <f t="shared" si="35"/>
        <v>5201</v>
      </c>
      <c r="C295" s="148">
        <f t="shared" si="36"/>
        <v>4326</v>
      </c>
      <c r="D295" s="145">
        <v>3500</v>
      </c>
      <c r="E295" s="150">
        <v>826</v>
      </c>
      <c r="F295" s="140">
        <f t="shared" si="34"/>
        <v>875</v>
      </c>
      <c r="G295" s="184"/>
      <c r="H295" s="184">
        <v>580</v>
      </c>
      <c r="I295" s="184">
        <v>295</v>
      </c>
      <c r="J295" s="184"/>
      <c r="K295" s="184"/>
      <c r="L295" s="184"/>
      <c r="M295" s="184"/>
      <c r="N295" s="184"/>
      <c r="O295" s="184"/>
      <c r="P295" s="184"/>
    </row>
    <row r="296" spans="1:16" ht="30" customHeight="1">
      <c r="A296" s="160" t="s">
        <v>692</v>
      </c>
      <c r="B296" s="135">
        <f t="shared" si="35"/>
        <v>500</v>
      </c>
      <c r="C296" s="145"/>
      <c r="D296" s="145"/>
      <c r="E296" s="145"/>
      <c r="F296" s="140">
        <f t="shared" si="34"/>
        <v>500</v>
      </c>
      <c r="G296" s="182"/>
      <c r="H296" s="182">
        <v>200</v>
      </c>
      <c r="I296" s="182">
        <v>300</v>
      </c>
      <c r="J296" s="182"/>
      <c r="K296" s="182"/>
      <c r="L296" s="182"/>
      <c r="M296" s="182"/>
      <c r="N296" s="182"/>
      <c r="O296" s="182"/>
      <c r="P296" s="182"/>
    </row>
    <row r="297" spans="1:16" ht="30" customHeight="1">
      <c r="A297" s="141" t="s">
        <v>56</v>
      </c>
      <c r="B297" s="135">
        <f t="shared" si="35"/>
        <v>632852</v>
      </c>
      <c r="C297" s="136">
        <f>D297+E297</f>
        <v>585311</v>
      </c>
      <c r="D297" s="136">
        <v>473612</v>
      </c>
      <c r="E297" s="136">
        <v>111699</v>
      </c>
      <c r="F297" s="140">
        <f t="shared" si="37" ref="F297:F311">SUM(G297:K297)</f>
        <v>41541</v>
      </c>
      <c r="G297" s="140">
        <v>0</v>
      </c>
      <c r="H297" s="140">
        <v>23302</v>
      </c>
      <c r="I297" s="140">
        <v>18239</v>
      </c>
      <c r="J297" s="140"/>
      <c r="K297" s="140"/>
      <c r="L297" s="140"/>
      <c r="M297" s="140"/>
      <c r="N297" s="140">
        <v>6000</v>
      </c>
      <c r="O297" s="140"/>
      <c r="P297" s="140"/>
    </row>
    <row r="298" spans="1:16" ht="30" customHeight="1">
      <c r="A298" s="134" t="s">
        <v>62</v>
      </c>
      <c r="B298" s="135">
        <f t="shared" si="35"/>
        <v>42383</v>
      </c>
      <c r="C298" s="136">
        <f>D298+E298</f>
        <v>0</v>
      </c>
      <c r="D298" s="136"/>
      <c r="E298" s="136"/>
      <c r="F298" s="140">
        <f t="shared" si="37"/>
        <v>0</v>
      </c>
      <c r="G298" s="140"/>
      <c r="H298" s="140"/>
      <c r="I298" s="140">
        <v>0</v>
      </c>
      <c r="J298" s="140"/>
      <c r="K298" s="140"/>
      <c r="L298" s="140"/>
      <c r="M298" s="140"/>
      <c r="N298" s="140">
        <v>42383</v>
      </c>
      <c r="O298" s="140">
        <v>0</v>
      </c>
      <c r="P298" s="140"/>
    </row>
    <row r="299" spans="1:16" ht="30" customHeight="1">
      <c r="A299" s="141" t="s">
        <v>61</v>
      </c>
      <c r="B299" s="135">
        <f t="shared" si="35"/>
        <v>23100</v>
      </c>
      <c r="C299" s="136">
        <f>D299+E299</f>
        <v>0</v>
      </c>
      <c r="D299" s="136"/>
      <c r="E299" s="136"/>
      <c r="F299" s="140">
        <f t="shared" si="37"/>
        <v>23100</v>
      </c>
      <c r="G299" s="140">
        <v>0</v>
      </c>
      <c r="H299" s="140">
        <v>23100</v>
      </c>
      <c r="I299" s="140"/>
      <c r="J299" s="140"/>
      <c r="K299" s="140"/>
      <c r="L299" s="140"/>
      <c r="M299" s="140"/>
      <c r="N299" s="140">
        <v>0</v>
      </c>
      <c r="O299" s="140"/>
      <c r="P299" s="140"/>
    </row>
    <row r="300" spans="1:16" ht="32.1" customHeight="1">
      <c r="A300" s="134" t="s">
        <v>231</v>
      </c>
      <c r="B300" s="135">
        <f t="shared" si="35"/>
        <v>400</v>
      </c>
      <c r="C300" s="136"/>
      <c r="D300" s="136"/>
      <c r="E300" s="136"/>
      <c r="F300" s="140">
        <f t="shared" si="37"/>
        <v>0</v>
      </c>
      <c r="G300" s="140"/>
      <c r="H300" s="140"/>
      <c r="I300" s="140"/>
      <c r="J300" s="140"/>
      <c r="K300" s="140"/>
      <c r="L300" s="140">
        <v>400</v>
      </c>
      <c r="M300" s="140"/>
      <c r="N300" s="140"/>
      <c r="O300" s="140"/>
      <c r="P300" s="140"/>
    </row>
    <row r="301" spans="1:16" ht="15" customHeight="1">
      <c r="A301" s="134" t="s">
        <v>232</v>
      </c>
      <c r="B301" s="135">
        <f t="shared" si="35"/>
        <v>400</v>
      </c>
      <c r="C301" s="136"/>
      <c r="D301" s="136"/>
      <c r="E301" s="136"/>
      <c r="F301" s="140">
        <f t="shared" si="37"/>
        <v>0</v>
      </c>
      <c r="G301" s="140"/>
      <c r="H301" s="140"/>
      <c r="I301" s="140"/>
      <c r="J301" s="140"/>
      <c r="K301" s="140"/>
      <c r="L301" s="140">
        <v>400</v>
      </c>
      <c r="M301" s="140"/>
      <c r="N301" s="140"/>
      <c r="O301" s="140"/>
      <c r="P301" s="140"/>
    </row>
    <row r="302" spans="1:16" ht="15" customHeight="1">
      <c r="A302" s="134" t="s">
        <v>233</v>
      </c>
      <c r="B302" s="135">
        <f t="shared" si="35"/>
        <v>400</v>
      </c>
      <c r="C302" s="136"/>
      <c r="D302" s="136"/>
      <c r="E302" s="136"/>
      <c r="F302" s="140">
        <f t="shared" si="37"/>
        <v>0</v>
      </c>
      <c r="G302" s="140"/>
      <c r="H302" s="140"/>
      <c r="I302" s="140"/>
      <c r="J302" s="140"/>
      <c r="K302" s="140"/>
      <c r="L302" s="140">
        <v>400</v>
      </c>
      <c r="M302" s="140"/>
      <c r="N302" s="140"/>
      <c r="O302" s="140"/>
      <c r="P302" s="140"/>
    </row>
    <row r="303" spans="1:16" ht="15" customHeight="1">
      <c r="A303" s="134" t="s">
        <v>831</v>
      </c>
      <c r="B303" s="135">
        <f t="shared" si="35"/>
        <v>300</v>
      </c>
      <c r="C303" s="136"/>
      <c r="D303" s="136"/>
      <c r="E303" s="136"/>
      <c r="F303" s="140"/>
      <c r="G303" s="140"/>
      <c r="H303" s="140"/>
      <c r="I303" s="140"/>
      <c r="J303" s="140"/>
      <c r="K303" s="140"/>
      <c r="L303" s="140">
        <v>300</v>
      </c>
      <c r="M303" s="140"/>
      <c r="N303" s="140"/>
      <c r="O303" s="140"/>
      <c r="P303" s="140"/>
    </row>
    <row r="304" spans="1:16" ht="30" customHeight="1">
      <c r="A304" s="134" t="s">
        <v>242</v>
      </c>
      <c r="B304" s="135">
        <f t="shared" si="35"/>
        <v>188210</v>
      </c>
      <c r="C304" s="136"/>
      <c r="D304" s="136"/>
      <c r="E304" s="136"/>
      <c r="F304" s="140">
        <f t="shared" si="37"/>
        <v>0</v>
      </c>
      <c r="G304" s="140"/>
      <c r="H304" s="140"/>
      <c r="I304" s="140"/>
      <c r="J304" s="140"/>
      <c r="K304" s="140"/>
      <c r="L304" s="140"/>
      <c r="M304" s="140"/>
      <c r="N304" s="140">
        <v>188210</v>
      </c>
      <c r="O304" s="140"/>
      <c r="P304" s="140"/>
    </row>
    <row r="305" spans="1:16" ht="30" customHeight="1">
      <c r="A305" s="134" t="s">
        <v>736</v>
      </c>
      <c r="B305" s="135">
        <f t="shared" si="35"/>
        <v>29524</v>
      </c>
      <c r="C305" s="136"/>
      <c r="D305" s="136"/>
      <c r="E305" s="136"/>
      <c r="F305" s="140">
        <f t="shared" si="37"/>
        <v>0</v>
      </c>
      <c r="G305" s="140"/>
      <c r="H305" s="140"/>
      <c r="I305" s="140"/>
      <c r="J305" s="140"/>
      <c r="K305" s="140"/>
      <c r="L305" s="140"/>
      <c r="M305" s="140"/>
      <c r="N305" s="140">
        <v>29524</v>
      </c>
      <c r="O305" s="140"/>
      <c r="P305" s="140"/>
    </row>
    <row r="306" spans="1:16" ht="30" customHeight="1">
      <c r="A306" s="160" t="s">
        <v>695</v>
      </c>
      <c r="B306" s="135">
        <f t="shared" si="35"/>
        <v>2000</v>
      </c>
      <c r="C306" s="136">
        <v>0</v>
      </c>
      <c r="D306" s="136"/>
      <c r="E306" s="136"/>
      <c r="F306" s="140">
        <f t="shared" si="37"/>
        <v>2000</v>
      </c>
      <c r="G306" s="140"/>
      <c r="H306" s="140">
        <v>2000</v>
      </c>
      <c r="I306" s="140">
        <v>0</v>
      </c>
      <c r="J306" s="140"/>
      <c r="K306" s="140"/>
      <c r="L306" s="140"/>
      <c r="M306" s="140"/>
      <c r="N306" s="140"/>
      <c r="O306" s="140">
        <v>0</v>
      </c>
      <c r="P306" s="140">
        <v>0</v>
      </c>
    </row>
    <row r="307" spans="1:16" ht="15" customHeight="1">
      <c r="A307" s="134" t="s">
        <v>184</v>
      </c>
      <c r="B307" s="135">
        <f t="shared" si="35"/>
        <v>100000</v>
      </c>
      <c r="C307" s="136"/>
      <c r="D307" s="136"/>
      <c r="E307" s="136"/>
      <c r="F307" s="140">
        <f t="shared" si="37"/>
        <v>0</v>
      </c>
      <c r="G307" s="140"/>
      <c r="H307" s="140"/>
      <c r="I307" s="140"/>
      <c r="J307" s="140"/>
      <c r="K307" s="140"/>
      <c r="L307" s="140"/>
      <c r="M307" s="140"/>
      <c r="N307" s="140">
        <v>100000</v>
      </c>
      <c r="O307" s="140"/>
      <c r="P307" s="140"/>
    </row>
    <row r="308" spans="1:16" ht="30" customHeight="1">
      <c r="A308" s="134" t="s">
        <v>240</v>
      </c>
      <c r="B308" s="135">
        <f t="shared" si="35"/>
        <v>311642</v>
      </c>
      <c r="C308" s="136"/>
      <c r="D308" s="136"/>
      <c r="E308" s="136"/>
      <c r="F308" s="140">
        <f t="shared" si="37"/>
        <v>0</v>
      </c>
      <c r="G308" s="140"/>
      <c r="H308" s="140"/>
      <c r="I308" s="140"/>
      <c r="J308" s="140"/>
      <c r="K308" s="140"/>
      <c r="L308" s="140"/>
      <c r="M308" s="140"/>
      <c r="N308" s="140">
        <v>311642</v>
      </c>
      <c r="O308" s="140"/>
      <c r="P308" s="140"/>
    </row>
    <row r="309" spans="1:16" ht="32.25" customHeight="1">
      <c r="A309" s="134" t="s">
        <v>241</v>
      </c>
      <c r="B309" s="135">
        <f t="shared" si="35"/>
        <v>380947</v>
      </c>
      <c r="C309" s="136"/>
      <c r="D309" s="136"/>
      <c r="E309" s="136"/>
      <c r="F309" s="140">
        <f t="shared" si="37"/>
        <v>0</v>
      </c>
      <c r="G309" s="140"/>
      <c r="H309" s="140"/>
      <c r="I309" s="140"/>
      <c r="J309" s="140"/>
      <c r="K309" s="140"/>
      <c r="L309" s="140"/>
      <c r="M309" s="140"/>
      <c r="N309" s="140">
        <v>380947</v>
      </c>
      <c r="O309" s="140"/>
      <c r="P309" s="140"/>
    </row>
    <row r="310" spans="1:16" ht="21.75" customHeight="1">
      <c r="A310" s="134" t="s">
        <v>750</v>
      </c>
      <c r="B310" s="135">
        <f t="shared" si="35"/>
        <v>60000</v>
      </c>
      <c r="C310" s="136"/>
      <c r="D310" s="136"/>
      <c r="E310" s="136"/>
      <c r="F310" s="140">
        <f t="shared" si="37"/>
        <v>60000</v>
      </c>
      <c r="G310" s="140"/>
      <c r="H310" s="140">
        <v>60000</v>
      </c>
      <c r="I310" s="140"/>
      <c r="J310" s="140"/>
      <c r="K310" s="140"/>
      <c r="L310" s="140"/>
      <c r="M310" s="140"/>
      <c r="N310" s="140"/>
      <c r="O310" s="140"/>
      <c r="P310" s="140"/>
    </row>
    <row r="311" spans="1:16" ht="35.25" customHeight="1">
      <c r="A311" s="134" t="s">
        <v>745</v>
      </c>
      <c r="B311" s="135">
        <f t="shared" si="35"/>
        <v>3000</v>
      </c>
      <c r="C311" s="136"/>
      <c r="D311" s="136"/>
      <c r="E311" s="136"/>
      <c r="F311" s="140">
        <f t="shared" si="37"/>
        <v>0</v>
      </c>
      <c r="G311" s="140"/>
      <c r="H311" s="140"/>
      <c r="I311" s="140"/>
      <c r="J311" s="140"/>
      <c r="K311" s="140"/>
      <c r="L311" s="140"/>
      <c r="M311" s="140"/>
      <c r="N311" s="140">
        <v>3000</v>
      </c>
      <c r="O311" s="140"/>
      <c r="P311" s="140"/>
    </row>
    <row r="312" spans="1:16" ht="19.5" customHeight="1">
      <c r="A312" s="134" t="s">
        <v>765</v>
      </c>
      <c r="B312" s="135">
        <f t="shared" si="35"/>
        <v>188613</v>
      </c>
      <c r="C312" s="136"/>
      <c r="D312" s="136"/>
      <c r="E312" s="136"/>
      <c r="F312" s="140"/>
      <c r="G312" s="140"/>
      <c r="H312" s="140"/>
      <c r="I312" s="140"/>
      <c r="J312" s="140"/>
      <c r="K312" s="140"/>
      <c r="L312" s="140"/>
      <c r="M312" s="140"/>
      <c r="N312" s="140">
        <v>188613</v>
      </c>
      <c r="O312" s="140"/>
      <c r="P312" s="140"/>
    </row>
    <row r="313" spans="1:16" ht="30" customHeight="1">
      <c r="A313" s="134" t="s">
        <v>764</v>
      </c>
      <c r="B313" s="135">
        <f t="shared" si="35"/>
        <v>12210</v>
      </c>
      <c r="C313" s="136"/>
      <c r="D313" s="136"/>
      <c r="E313" s="136"/>
      <c r="F313" s="140">
        <f>H313</f>
        <v>12210</v>
      </c>
      <c r="G313" s="140"/>
      <c r="H313" s="140">
        <v>12210</v>
      </c>
      <c r="I313" s="140"/>
      <c r="J313" s="140"/>
      <c r="K313" s="140"/>
      <c r="L313" s="140"/>
      <c r="M313" s="140"/>
      <c r="N313" s="140"/>
      <c r="O313" s="140"/>
      <c r="P313" s="140"/>
    </row>
    <row r="314" spans="1:16" ht="49.5" customHeight="1">
      <c r="A314" s="134" t="s">
        <v>819</v>
      </c>
      <c r="B314" s="135">
        <f t="shared" si="35"/>
        <v>5956</v>
      </c>
      <c r="C314" s="136"/>
      <c r="D314" s="136"/>
      <c r="E314" s="136"/>
      <c r="F314" s="140"/>
      <c r="G314" s="140"/>
      <c r="H314" s="140"/>
      <c r="I314" s="140"/>
      <c r="J314" s="140"/>
      <c r="K314" s="140"/>
      <c r="L314" s="140">
        <v>5956</v>
      </c>
      <c r="M314" s="140"/>
      <c r="N314" s="140"/>
      <c r="O314" s="140"/>
      <c r="P314" s="140"/>
    </row>
    <row r="315" spans="1:16" ht="30" customHeight="1">
      <c r="A315" s="134" t="s">
        <v>782</v>
      </c>
      <c r="B315" s="135">
        <f t="shared" si="35"/>
        <v>21130</v>
      </c>
      <c r="C315" s="136"/>
      <c r="D315" s="136"/>
      <c r="E315" s="136"/>
      <c r="F315" s="140"/>
      <c r="G315" s="140"/>
      <c r="H315" s="140"/>
      <c r="I315" s="140"/>
      <c r="J315" s="140"/>
      <c r="K315" s="140"/>
      <c r="L315" s="140"/>
      <c r="M315" s="140"/>
      <c r="N315" s="140">
        <v>21130</v>
      </c>
      <c r="O315" s="140"/>
      <c r="P315" s="140"/>
    </row>
    <row r="316" spans="1:16" ht="30" customHeight="1">
      <c r="A316" s="134" t="s">
        <v>820</v>
      </c>
      <c r="B316" s="135">
        <f t="shared" si="35"/>
        <v>12000</v>
      </c>
      <c r="C316" s="136"/>
      <c r="D316" s="136"/>
      <c r="E316" s="136"/>
      <c r="F316" s="140"/>
      <c r="G316" s="140"/>
      <c r="H316" s="140"/>
      <c r="I316" s="140"/>
      <c r="J316" s="140"/>
      <c r="K316" s="140"/>
      <c r="L316" s="140">
        <v>12000</v>
      </c>
      <c r="M316" s="140"/>
      <c r="N316" s="140"/>
      <c r="O316" s="140"/>
      <c r="P316" s="140"/>
    </row>
    <row r="317" spans="1:16" ht="30" customHeight="1">
      <c r="A317" s="134" t="s">
        <v>783</v>
      </c>
      <c r="B317" s="135">
        <f t="shared" si="35"/>
        <v>5614</v>
      </c>
      <c r="C317" s="136"/>
      <c r="D317" s="136"/>
      <c r="E317" s="136"/>
      <c r="F317" s="140">
        <f>G317+H317+I317+J317+K317</f>
        <v>5614</v>
      </c>
      <c r="G317" s="140">
        <v>5614</v>
      </c>
      <c r="H317" s="140"/>
      <c r="I317" s="140"/>
      <c r="J317" s="140"/>
      <c r="K317" s="140"/>
      <c r="L317" s="140"/>
      <c r="M317" s="140"/>
      <c r="N317" s="140"/>
      <c r="O317" s="140"/>
      <c r="P317" s="140"/>
    </row>
    <row r="318" spans="1:19" ht="15" customHeight="1">
      <c r="A318" s="84" t="s">
        <v>57</v>
      </c>
      <c r="B318" s="131">
        <f>SUM(B18:B317)-B122-B209-B211-B213-B215-B217-B219-B221-B223-B226-B228-B230-B234-B237-B239-B241-B244-B246-B248</f>
        <v>35235609.230000004</v>
      </c>
      <c r="C318" s="154">
        <f t="shared" si="38" ref="C318:K318">SUM(C18:C317)</f>
        <v>21794388.98</v>
      </c>
      <c r="D318" s="154">
        <f t="shared" si="38"/>
        <v>17550166</v>
      </c>
      <c r="E318" s="154">
        <f t="shared" si="38"/>
        <v>4244222.9800000004</v>
      </c>
      <c r="F318" s="131">
        <f t="shared" si="38"/>
        <v>8747660.5</v>
      </c>
      <c r="G318" s="131">
        <f t="shared" si="38"/>
        <v>60936</v>
      </c>
      <c r="H318" s="131">
        <f t="shared" si="38"/>
        <v>4683562.50</v>
      </c>
      <c r="I318" s="131">
        <f t="shared" si="38"/>
        <v>3591094</v>
      </c>
      <c r="J318" s="131">
        <f t="shared" si="38"/>
        <v>14620</v>
      </c>
      <c r="K318" s="131">
        <f t="shared" si="38"/>
        <v>397448</v>
      </c>
      <c r="L318" s="131">
        <f>SUM(L18:L317)</f>
        <v>77201</v>
      </c>
      <c r="M318" s="131">
        <f>SUM(M18:M317)</f>
        <v>860221</v>
      </c>
      <c r="N318" s="131">
        <f>SUM(N18:N317)</f>
        <v>2119842</v>
      </c>
      <c r="O318" s="131">
        <f>SUM(O18:O317)</f>
        <v>1605751</v>
      </c>
      <c r="P318" s="131">
        <f>SUM(P18:P317)</f>
        <v>152876</v>
      </c>
      <c r="Q318" s="83"/>
      <c r="R318" s="80"/>
      <c r="S318" s="80"/>
    </row>
    <row r="319" spans="1:16" ht="15" customHeight="1">
      <c r="A319" s="24"/>
      <c r="B319" s="133"/>
      <c r="C319" s="25"/>
      <c r="D319" s="25"/>
      <c r="E319" s="25"/>
      <c r="F319" s="185"/>
      <c r="G319" s="185"/>
      <c r="H319" s="185"/>
      <c r="I319" s="185"/>
      <c r="J319" s="185"/>
      <c r="K319" s="185"/>
      <c r="L319" s="185"/>
      <c r="M319" s="185"/>
      <c r="N319" s="185"/>
      <c r="O319" s="185"/>
      <c r="P319" s="185"/>
    </row>
    <row r="320" spans="1:16" ht="15" customHeight="1">
      <c r="A320" s="24"/>
      <c r="B320" s="124"/>
      <c r="C320" s="25"/>
      <c r="D320" s="25"/>
      <c r="E320" s="25"/>
      <c r="F320" s="185"/>
      <c r="G320" s="185"/>
      <c r="H320" s="185"/>
      <c r="I320" s="185"/>
      <c r="J320" s="185"/>
      <c r="K320" s="185"/>
      <c r="L320" s="185"/>
      <c r="M320" s="185"/>
      <c r="N320" s="185"/>
      <c r="O320" s="185"/>
      <c r="P320" s="185"/>
    </row>
    <row r="321" spans="2:2" ht="15" customHeight="1">
      <c r="B321" s="125" t="s">
        <v>845</v>
      </c>
    </row>
    <row r="322" spans="1:16" ht="18.75">
      <c r="A322" s="79"/>
      <c r="B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</row>
    <row r="323" spans="3:16" ht="15">
      <c r="C323" s="80"/>
      <c r="D323" s="80"/>
      <c r="E323" s="80"/>
      <c r="F323" s="186"/>
      <c r="G323" s="186"/>
      <c r="H323" s="186"/>
      <c r="I323" s="186"/>
      <c r="J323" s="186"/>
      <c r="K323" s="186"/>
      <c r="L323" s="186"/>
      <c r="M323" s="186"/>
      <c r="N323" s="186"/>
      <c r="O323" s="186"/>
      <c r="P323" s="186"/>
    </row>
    <row r="324" spans="6:16" ht="15">
      <c r="F324" s="187"/>
      <c r="P324" s="186"/>
    </row>
    <row r="329" spans="7:12" ht="15">
      <c r="G329" s="186"/>
      <c r="H329" s="186"/>
      <c r="I329" s="186"/>
      <c r="J329" s="186"/>
      <c r="K329" s="186"/>
      <c r="L329" s="186"/>
    </row>
  </sheetData>
  <autoFilter ref="A15:P31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6">
    <mergeCell ref="A13:P13"/>
    <mergeCell ref="C15:P15"/>
    <mergeCell ref="A15:A17"/>
    <mergeCell ref="B15:B17"/>
    <mergeCell ref="A1:A12"/>
    <mergeCell ref="B1:E12"/>
  </mergeCells>
  <printOptions horizontalCentered="1"/>
  <pageMargins left="0.708661417322835" right="0.708661417322835" top="0.748031496062992" bottom="0.748031496062992" header="0.31496062992126" footer="0.31496062992126"/>
  <pageSetup fitToHeight="0" orientation="landscape" paperSize="9" scale="66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1.pielikums</vt:lpstr>
      <vt:lpstr>2.pielikums</vt:lpstr>
      <vt:lpstr>3.pielikums</vt:lpstr>
      <vt:lpstr>4.pielikums</vt:lpstr>
    </vt:vector>
  </TitlesOfParts>
  <Template/>
  <Manager/>
  <Company>Grizli777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Balvi Novads</cp:lastModifiedBy>
  <cp:lastPrinted>2024-07-16T09:41:52Z</cp:lastPrinted>
  <dcterms:created xsi:type="dcterms:W3CDTF">2014-01-31T18:56:56Z</dcterms:created>
  <dcterms:modified xsi:type="dcterms:W3CDTF">2024-07-29T09:52:32Z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